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1"/>
  <workbookPr/>
  <mc:AlternateContent xmlns:mc="http://schemas.openxmlformats.org/markup-compatibility/2006">
    <mc:Choice Requires="x15">
      <x15ac:absPath xmlns:x15ac="http://schemas.microsoft.com/office/spreadsheetml/2010/11/ac" url="/Users/joesairbook/Downloads/"/>
    </mc:Choice>
  </mc:AlternateContent>
  <xr:revisionPtr revIDLastSave="0" documentId="13_ncr:1_{2DEA9A7B-4644-CE4A-9A42-DD0883CA4F9D}" xr6:coauthVersionLast="47" xr6:coauthVersionMax="47" xr10:uidLastSave="{00000000-0000-0000-0000-000000000000}"/>
  <bookViews>
    <workbookView xWindow="-340" yWindow="500" windowWidth="28800" windowHeight="16400" tabRatio="500" xr2:uid="{00000000-000D-0000-FFFF-FFFF00000000}"/>
  </bookViews>
  <sheets>
    <sheet name="Data_Input" sheetId="1" r:id="rId1"/>
    <sheet name="Forecasting" sheetId="2" r:id="rId2"/>
  </sheets>
  <definedNames>
    <definedName name="CIQWBGuid" hidden="1">"a611639b-bab1-425e-aaa5-008c326fdfdb"</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43588.5561574074</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MLNK841c85bef3244d5c8fb6b3f84988d79e" hidden="1">#REF!</definedName>
    <definedName name="MLNKa7775792bf444a4785f8ed5c82461a24" hidden="1">#REF!</definedName>
    <definedName name="_xlnm.Print_Area" localSheetId="1">Forecasting!$C$2:$U$119</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G17" i="2" l="1"/>
  <c r="G145" i="2"/>
  <c r="F64" i="1"/>
  <c r="E64" i="1"/>
  <c r="F57" i="1"/>
  <c r="F59" i="1" s="1"/>
  <c r="E57" i="1"/>
  <c r="E59" i="1" s="1"/>
  <c r="F48" i="1"/>
  <c r="E48" i="1"/>
  <c r="F45" i="1"/>
  <c r="F51" i="1" s="1"/>
  <c r="F66" i="1" s="1"/>
  <c r="E45" i="1"/>
  <c r="E51" i="1" s="1"/>
  <c r="E66" i="1" s="1"/>
  <c r="C44" i="1"/>
  <c r="C43" i="1"/>
  <c r="F39" i="1"/>
  <c r="E39" i="1"/>
  <c r="D39" i="1"/>
  <c r="F38" i="1"/>
  <c r="E38" i="1"/>
  <c r="D38" i="1"/>
  <c r="F36" i="1"/>
  <c r="E36" i="1"/>
  <c r="F19" i="1"/>
  <c r="E19" i="1"/>
  <c r="D19" i="1"/>
  <c r="F15" i="1"/>
  <c r="F44" i="1" s="1"/>
  <c r="E15" i="1"/>
  <c r="F14" i="1"/>
  <c r="E14" i="1" s="1"/>
  <c r="D14" i="1" s="1"/>
  <c r="C2" i="1"/>
  <c r="F156" i="2"/>
  <c r="E156" i="2"/>
  <c r="D156" i="2"/>
  <c r="G155" i="2"/>
  <c r="H155" i="2" s="1"/>
  <c r="I155" i="2" s="1"/>
  <c r="J155" i="2" s="1"/>
  <c r="K155" i="2" s="1"/>
  <c r="G151" i="2"/>
  <c r="F146" i="2"/>
  <c r="E146" i="2"/>
  <c r="H145" i="2"/>
  <c r="I145" i="2" s="1"/>
  <c r="J145" i="2" s="1"/>
  <c r="K145" i="2" s="1"/>
  <c r="F142" i="2"/>
  <c r="E142" i="2"/>
  <c r="D142" i="2"/>
  <c r="F140" i="2"/>
  <c r="E140" i="2"/>
  <c r="D140" i="2"/>
  <c r="C140" i="2"/>
  <c r="F139" i="2"/>
  <c r="E139" i="2"/>
  <c r="D139" i="2"/>
  <c r="C139" i="2"/>
  <c r="F135" i="2"/>
  <c r="E135" i="2"/>
  <c r="D135" i="2"/>
  <c r="G132" i="2"/>
  <c r="F123" i="2"/>
  <c r="E123" i="2"/>
  <c r="D123" i="2"/>
  <c r="C123" i="2"/>
  <c r="F122" i="2"/>
  <c r="E122" i="2"/>
  <c r="D122" i="2"/>
  <c r="C122" i="2"/>
  <c r="F119" i="2"/>
  <c r="E119" i="2"/>
  <c r="D119" i="2"/>
  <c r="G118" i="2"/>
  <c r="H118" i="2" s="1"/>
  <c r="G117" i="2"/>
  <c r="H117" i="2" s="1"/>
  <c r="G115" i="2"/>
  <c r="F112" i="2"/>
  <c r="E112" i="2"/>
  <c r="G109" i="2"/>
  <c r="F106" i="2"/>
  <c r="E106" i="2"/>
  <c r="D106" i="2"/>
  <c r="F104" i="2"/>
  <c r="F105" i="2" s="1"/>
  <c r="G105" i="2" s="1"/>
  <c r="E104" i="2"/>
  <c r="E105" i="2" s="1"/>
  <c r="D104" i="2"/>
  <c r="D105" i="2" s="1"/>
  <c r="F101" i="2"/>
  <c r="G101" i="2" s="1"/>
  <c r="E101" i="2"/>
  <c r="D101" i="2"/>
  <c r="F99" i="2"/>
  <c r="E99" i="2"/>
  <c r="G97" i="2"/>
  <c r="H97" i="2" s="1"/>
  <c r="G96" i="2"/>
  <c r="F94" i="2"/>
  <c r="E94" i="2"/>
  <c r="D94" i="2"/>
  <c r="C94" i="2"/>
  <c r="F93" i="2"/>
  <c r="E93" i="2"/>
  <c r="D93" i="2"/>
  <c r="C93" i="2"/>
  <c r="G87" i="2"/>
  <c r="G86" i="2"/>
  <c r="G81" i="2"/>
  <c r="G82" i="2" s="1"/>
  <c r="G74" i="2"/>
  <c r="C70" i="2"/>
  <c r="C69" i="2"/>
  <c r="F64" i="2"/>
  <c r="E64" i="2"/>
  <c r="G63" i="2"/>
  <c r="H63" i="2" s="1"/>
  <c r="I63" i="2" s="1"/>
  <c r="J63" i="2" s="1"/>
  <c r="K63" i="2" s="1"/>
  <c r="G61" i="2"/>
  <c r="H58" i="2"/>
  <c r="G58" i="2"/>
  <c r="G78" i="2" s="1"/>
  <c r="F57" i="2"/>
  <c r="E57" i="2"/>
  <c r="G55" i="2"/>
  <c r="H55" i="2" s="1"/>
  <c r="I55" i="2" s="1"/>
  <c r="J55" i="2" s="1"/>
  <c r="G54" i="2"/>
  <c r="H54" i="2" s="1"/>
  <c r="I54" i="2" s="1"/>
  <c r="J54" i="2" s="1"/>
  <c r="G50" i="2"/>
  <c r="F48" i="2"/>
  <c r="G48" i="2" s="1"/>
  <c r="H48" i="2" s="1"/>
  <c r="I48" i="2" s="1"/>
  <c r="J48" i="2" s="1"/>
  <c r="K48" i="2" s="1"/>
  <c r="E48" i="2"/>
  <c r="G46" i="2"/>
  <c r="F45" i="2"/>
  <c r="E45" i="2"/>
  <c r="E51" i="2" s="1"/>
  <c r="F44" i="2"/>
  <c r="E44" i="2"/>
  <c r="C44" i="2"/>
  <c r="F43" i="2"/>
  <c r="E43" i="2"/>
  <c r="C43" i="2"/>
  <c r="F39" i="2"/>
  <c r="G39" i="2" s="1"/>
  <c r="H39" i="2" s="1"/>
  <c r="I39" i="2" s="1"/>
  <c r="J39" i="2" s="1"/>
  <c r="K39" i="2" s="1"/>
  <c r="E39" i="2"/>
  <c r="D39" i="2"/>
  <c r="F38" i="2"/>
  <c r="G38" i="2" s="1"/>
  <c r="E38" i="2"/>
  <c r="D38" i="2"/>
  <c r="J36" i="2"/>
  <c r="K36" i="2" s="1"/>
  <c r="F36" i="2"/>
  <c r="E36" i="2"/>
  <c r="G32" i="2"/>
  <c r="H32" i="2" s="1"/>
  <c r="G25" i="2"/>
  <c r="H25" i="2" s="1"/>
  <c r="I25" i="2" s="1"/>
  <c r="J25" i="2" s="1"/>
  <c r="K25" i="2" s="1"/>
  <c r="F19" i="2"/>
  <c r="E19" i="2"/>
  <c r="D19" i="2"/>
  <c r="F15" i="2"/>
  <c r="G15" i="2" s="1"/>
  <c r="E15" i="2"/>
  <c r="D15" i="2"/>
  <c r="F14" i="2"/>
  <c r="G14" i="2" s="1"/>
  <c r="E14" i="2"/>
  <c r="D14" i="2"/>
  <c r="C2" i="2"/>
  <c r="F37" i="1" l="1"/>
  <c r="F22" i="1"/>
  <c r="E37" i="1"/>
  <c r="E22" i="1"/>
  <c r="D22" i="1"/>
  <c r="D37" i="1"/>
  <c r="D15" i="1"/>
  <c r="E44" i="1"/>
  <c r="H151" i="2"/>
  <c r="E147" i="2"/>
  <c r="E152" i="2" s="1"/>
  <c r="F147" i="2"/>
  <c r="F152" i="2" s="1"/>
  <c r="I118" i="2"/>
  <c r="H86" i="2"/>
  <c r="H87" i="2"/>
  <c r="I117" i="2"/>
  <c r="G104" i="2"/>
  <c r="G110" i="2" s="1"/>
  <c r="H105" i="2"/>
  <c r="H101" i="2"/>
  <c r="G98" i="2"/>
  <c r="I97" i="2"/>
  <c r="H81" i="2"/>
  <c r="H82" i="2" s="1"/>
  <c r="H61" i="2"/>
  <c r="H78" i="2"/>
  <c r="I58" i="2"/>
  <c r="F59" i="2"/>
  <c r="F150" i="2"/>
  <c r="G57" i="2"/>
  <c r="E150" i="2"/>
  <c r="E59" i="2"/>
  <c r="E66" i="2" s="1"/>
  <c r="H50" i="2"/>
  <c r="G112" i="2"/>
  <c r="H46" i="2"/>
  <c r="G126" i="2"/>
  <c r="F51" i="2"/>
  <c r="F66" i="2" s="1"/>
  <c r="G20" i="2"/>
  <c r="H38" i="2"/>
  <c r="I32" i="2"/>
  <c r="H74" i="2"/>
  <c r="F37" i="2"/>
  <c r="G37" i="2" s="1"/>
  <c r="H37" i="2" s="1"/>
  <c r="I37" i="2" s="1"/>
  <c r="J37" i="2" s="1"/>
  <c r="K37" i="2" s="1"/>
  <c r="F22" i="2"/>
  <c r="E37" i="2"/>
  <c r="E22" i="2"/>
  <c r="D37" i="2"/>
  <c r="D22" i="2"/>
  <c r="G21" i="2"/>
  <c r="H17" i="2"/>
  <c r="G19" i="2"/>
  <c r="H15" i="2"/>
  <c r="G70" i="2"/>
  <c r="G44" i="2"/>
  <c r="G123" i="2"/>
  <c r="G140" i="2"/>
  <c r="G94" i="2"/>
  <c r="H14" i="2"/>
  <c r="G139" i="2"/>
  <c r="G43" i="2"/>
  <c r="G69" i="2"/>
  <c r="G122" i="2"/>
  <c r="G93" i="2"/>
  <c r="K54" i="2"/>
  <c r="K55" i="2"/>
  <c r="F26" i="1" l="1"/>
  <c r="F31" i="1"/>
  <c r="F33" i="1" s="1"/>
  <c r="E26" i="1"/>
  <c r="E31" i="1"/>
  <c r="E33" i="1" s="1"/>
  <c r="D26" i="1"/>
  <c r="D31" i="1"/>
  <c r="D33" i="1" s="1"/>
  <c r="I151" i="2"/>
  <c r="I86" i="2"/>
  <c r="J118" i="2"/>
  <c r="J117" i="2"/>
  <c r="I87" i="2"/>
  <c r="I105" i="2"/>
  <c r="H104" i="2"/>
  <c r="H110" i="2" s="1"/>
  <c r="H98" i="2"/>
  <c r="H106" i="2" s="1"/>
  <c r="H30" i="2" s="1"/>
  <c r="H73" i="2" s="1"/>
  <c r="I101" i="2"/>
  <c r="G99" i="2"/>
  <c r="G106" i="2"/>
  <c r="G30" i="2" s="1"/>
  <c r="G73" i="2" s="1"/>
  <c r="J97" i="2"/>
  <c r="I81" i="2"/>
  <c r="I82" i="2" s="1"/>
  <c r="I61" i="2"/>
  <c r="I78" i="2"/>
  <c r="J58" i="2"/>
  <c r="G84" i="2"/>
  <c r="H57" i="2"/>
  <c r="G150" i="2"/>
  <c r="H112" i="2"/>
  <c r="I50" i="2"/>
  <c r="H109" i="2"/>
  <c r="G111" i="2"/>
  <c r="G77" i="2" s="1"/>
  <c r="I46" i="2"/>
  <c r="I38" i="2"/>
  <c r="H20" i="2"/>
  <c r="J32" i="2"/>
  <c r="I74" i="2"/>
  <c r="F26" i="2"/>
  <c r="F31" i="2"/>
  <c r="F33" i="2" s="1"/>
  <c r="E26" i="2"/>
  <c r="E31" i="2"/>
  <c r="E33" i="2" s="1"/>
  <c r="D26" i="2"/>
  <c r="D31" i="2"/>
  <c r="D33" i="2" s="1"/>
  <c r="I17" i="2"/>
  <c r="H19" i="2"/>
  <c r="H21" i="2"/>
  <c r="G22" i="2"/>
  <c r="G18" i="2"/>
  <c r="I15" i="2"/>
  <c r="H44" i="2"/>
  <c r="H123" i="2"/>
  <c r="H140" i="2"/>
  <c r="H70" i="2"/>
  <c r="H94" i="2"/>
  <c r="I14" i="2"/>
  <c r="H93" i="2"/>
  <c r="H122" i="2"/>
  <c r="H69" i="2"/>
  <c r="H43" i="2"/>
  <c r="H139" i="2"/>
  <c r="F28" i="1" l="1"/>
  <c r="F40" i="1"/>
  <c r="E28" i="1"/>
  <c r="E40" i="1"/>
  <c r="D40" i="1"/>
  <c r="D28" i="1"/>
  <c r="J151" i="2"/>
  <c r="J86" i="2"/>
  <c r="K118" i="2"/>
  <c r="K86" i="2" s="1"/>
  <c r="J87" i="2"/>
  <c r="K117" i="2"/>
  <c r="K87" i="2" s="1"/>
  <c r="J105" i="2"/>
  <c r="I104" i="2"/>
  <c r="I110" i="2" s="1"/>
  <c r="I98" i="2"/>
  <c r="I106" i="2" s="1"/>
  <c r="I30" i="2" s="1"/>
  <c r="I73" i="2" s="1"/>
  <c r="J101" i="2"/>
  <c r="H96" i="2"/>
  <c r="H99" i="2" s="1"/>
  <c r="G49" i="2"/>
  <c r="K97" i="2"/>
  <c r="K81" i="2" s="1"/>
  <c r="K82" i="2" s="1"/>
  <c r="J81" i="2"/>
  <c r="J82" i="2" s="1"/>
  <c r="J61" i="2"/>
  <c r="J78" i="2"/>
  <c r="K58" i="2"/>
  <c r="K78" i="2" s="1"/>
  <c r="H84" i="2"/>
  <c r="H150" i="2"/>
  <c r="I57" i="2"/>
  <c r="I109" i="2"/>
  <c r="H111" i="2"/>
  <c r="H77" i="2" s="1"/>
  <c r="I112" i="2"/>
  <c r="J50" i="2"/>
  <c r="J46" i="2"/>
  <c r="J38" i="2"/>
  <c r="I20" i="2"/>
  <c r="K32" i="2"/>
  <c r="K74" i="2" s="1"/>
  <c r="J74" i="2"/>
  <c r="F28" i="2"/>
  <c r="F116" i="2" s="1"/>
  <c r="F40" i="2"/>
  <c r="G40" i="2" s="1"/>
  <c r="E28" i="2"/>
  <c r="E116" i="2" s="1"/>
  <c r="E40" i="2"/>
  <c r="D28" i="2"/>
  <c r="D116" i="2" s="1"/>
  <c r="D40" i="2"/>
  <c r="J17" i="2"/>
  <c r="I19" i="2"/>
  <c r="I21" i="2"/>
  <c r="H22" i="2"/>
  <c r="H18" i="2"/>
  <c r="G31" i="2"/>
  <c r="G33" i="2" s="1"/>
  <c r="G53" i="2"/>
  <c r="G47" i="2"/>
  <c r="J15" i="2"/>
  <c r="I94" i="2"/>
  <c r="I70" i="2"/>
  <c r="I140" i="2"/>
  <c r="I123" i="2"/>
  <c r="I44" i="2"/>
  <c r="J14" i="2"/>
  <c r="I69" i="2"/>
  <c r="I122" i="2"/>
  <c r="I93" i="2"/>
  <c r="I139" i="2"/>
  <c r="I43" i="2"/>
  <c r="G152" i="2"/>
  <c r="H152" i="2"/>
  <c r="K151" i="2" l="1"/>
  <c r="J104" i="2"/>
  <c r="J110" i="2" s="1"/>
  <c r="K105" i="2"/>
  <c r="K101" i="2"/>
  <c r="K98" i="2" s="1"/>
  <c r="J98" i="2"/>
  <c r="J106" i="2" s="1"/>
  <c r="J30" i="2" s="1"/>
  <c r="J73" i="2" s="1"/>
  <c r="H49" i="2"/>
  <c r="I96" i="2"/>
  <c r="I99" i="2" s="1"/>
  <c r="K61" i="2"/>
  <c r="I150" i="2"/>
  <c r="J57" i="2"/>
  <c r="I84" i="2"/>
  <c r="I111" i="2"/>
  <c r="I77" i="2" s="1"/>
  <c r="J109" i="2"/>
  <c r="J112" i="2"/>
  <c r="K50" i="2"/>
  <c r="K112" i="2" s="1"/>
  <c r="K46" i="2"/>
  <c r="J20" i="2"/>
  <c r="K38" i="2"/>
  <c r="H40" i="2"/>
  <c r="K17" i="2"/>
  <c r="J19" i="2"/>
  <c r="J21" i="2"/>
  <c r="I22" i="2"/>
  <c r="I18" i="2"/>
  <c r="H31" i="2"/>
  <c r="H33" i="2" s="1"/>
  <c r="G76" i="2"/>
  <c r="H53" i="2"/>
  <c r="G75" i="2"/>
  <c r="H47" i="2"/>
  <c r="K15" i="2"/>
  <c r="J123" i="2"/>
  <c r="J44" i="2"/>
  <c r="J70" i="2"/>
  <c r="J140" i="2"/>
  <c r="J94" i="2"/>
  <c r="K14" i="2"/>
  <c r="J69" i="2"/>
  <c r="J93" i="2"/>
  <c r="J122" i="2"/>
  <c r="J139" i="2"/>
  <c r="J43" i="2"/>
  <c r="I49" i="2" l="1"/>
  <c r="J96" i="2"/>
  <c r="J99" i="2" s="1"/>
  <c r="J150" i="2"/>
  <c r="J84" i="2"/>
  <c r="K57" i="2"/>
  <c r="J111" i="2"/>
  <c r="J77" i="2" s="1"/>
  <c r="K109" i="2"/>
  <c r="I40" i="2"/>
  <c r="K19" i="2"/>
  <c r="K21" i="2"/>
  <c r="J22" i="2"/>
  <c r="J18" i="2"/>
  <c r="I31" i="2"/>
  <c r="I33" i="2" s="1"/>
  <c r="I53" i="2"/>
  <c r="H76" i="2"/>
  <c r="H75" i="2"/>
  <c r="I47" i="2"/>
  <c r="K94" i="2"/>
  <c r="K123" i="2"/>
  <c r="K140" i="2"/>
  <c r="K44" i="2"/>
  <c r="K70" i="2"/>
  <c r="K69" i="2"/>
  <c r="K122" i="2"/>
  <c r="K139" i="2"/>
  <c r="K43" i="2"/>
  <c r="K93" i="2"/>
  <c r="K104" i="2"/>
  <c r="K20" i="2"/>
  <c r="I152" i="2"/>
  <c r="J152" i="2"/>
  <c r="K96" i="2" l="1"/>
  <c r="K99" i="2" s="1"/>
  <c r="K49" i="2" s="1"/>
  <c r="J49" i="2"/>
  <c r="K84" i="2"/>
  <c r="K150" i="2"/>
  <c r="K152" i="2" s="1"/>
  <c r="J40" i="2"/>
  <c r="K22" i="2"/>
  <c r="K18" i="2"/>
  <c r="J31" i="2"/>
  <c r="J33" i="2" s="1"/>
  <c r="J53" i="2"/>
  <c r="I76" i="2"/>
  <c r="I75" i="2"/>
  <c r="J47" i="2"/>
  <c r="K106" i="2"/>
  <c r="K30" i="2" s="1"/>
  <c r="K73" i="2" s="1"/>
  <c r="K110" i="2"/>
  <c r="K111" i="2" s="1"/>
  <c r="K77" i="2" s="1"/>
  <c r="K40" i="2" l="1"/>
  <c r="K31" i="2"/>
  <c r="K33" i="2" s="1"/>
  <c r="K53" i="2"/>
  <c r="J76" i="2"/>
  <c r="J75" i="2"/>
  <c r="K47" i="2"/>
  <c r="K75" i="2" s="1"/>
  <c r="K76" i="2" l="1"/>
  <c r="G23" i="2" l="1"/>
  <c r="H23" i="2"/>
  <c r="I23" i="2"/>
  <c r="J23" i="2"/>
  <c r="K23" i="2"/>
  <c r="G24" i="2"/>
  <c r="H24" i="2"/>
  <c r="I24" i="2"/>
  <c r="J24" i="2"/>
  <c r="K24" i="2"/>
  <c r="G26" i="2"/>
  <c r="H26" i="2"/>
  <c r="I26" i="2"/>
  <c r="J26" i="2"/>
  <c r="K26" i="2"/>
  <c r="G27" i="2"/>
  <c r="H27" i="2"/>
  <c r="I27" i="2"/>
  <c r="J27" i="2"/>
  <c r="K27" i="2"/>
  <c r="G28" i="2"/>
  <c r="H28" i="2"/>
  <c r="I28" i="2"/>
  <c r="J28" i="2"/>
  <c r="K28" i="2"/>
  <c r="G45" i="2"/>
  <c r="H45" i="2"/>
  <c r="I45" i="2"/>
  <c r="J45" i="2"/>
  <c r="K45" i="2"/>
  <c r="G51" i="2"/>
  <c r="H51" i="2"/>
  <c r="I51" i="2"/>
  <c r="J51" i="2"/>
  <c r="K51" i="2"/>
  <c r="G56" i="2"/>
  <c r="H56" i="2"/>
  <c r="I56" i="2"/>
  <c r="J56" i="2"/>
  <c r="K56" i="2"/>
  <c r="G59" i="2"/>
  <c r="H59" i="2"/>
  <c r="I59" i="2"/>
  <c r="J59" i="2"/>
  <c r="K59" i="2"/>
  <c r="G62" i="2"/>
  <c r="H62" i="2"/>
  <c r="I62" i="2"/>
  <c r="J62" i="2"/>
  <c r="K62" i="2"/>
  <c r="G64" i="2"/>
  <c r="H64" i="2"/>
  <c r="I64" i="2"/>
  <c r="J64" i="2"/>
  <c r="K64" i="2"/>
  <c r="G66" i="2"/>
  <c r="H66" i="2"/>
  <c r="I66" i="2"/>
  <c r="J66" i="2"/>
  <c r="K66" i="2"/>
  <c r="G72" i="2"/>
  <c r="H72" i="2"/>
  <c r="I72" i="2"/>
  <c r="J72" i="2"/>
  <c r="K72" i="2"/>
  <c r="G79" i="2"/>
  <c r="H79" i="2"/>
  <c r="I79" i="2"/>
  <c r="J79" i="2"/>
  <c r="K79" i="2"/>
  <c r="G85" i="2"/>
  <c r="H85" i="2"/>
  <c r="I85" i="2"/>
  <c r="J85" i="2"/>
  <c r="K85" i="2"/>
  <c r="G88" i="2"/>
  <c r="H88" i="2"/>
  <c r="I88" i="2"/>
  <c r="J88" i="2"/>
  <c r="K88" i="2"/>
  <c r="G90" i="2"/>
  <c r="H90" i="2"/>
  <c r="I90" i="2"/>
  <c r="J90" i="2"/>
  <c r="K90" i="2"/>
  <c r="H115" i="2"/>
  <c r="I115" i="2"/>
  <c r="J115" i="2"/>
  <c r="K115" i="2"/>
  <c r="G116" i="2"/>
  <c r="H116" i="2"/>
  <c r="I116" i="2"/>
  <c r="J116" i="2"/>
  <c r="K116" i="2"/>
  <c r="G119" i="2"/>
  <c r="H119" i="2"/>
  <c r="I119" i="2"/>
  <c r="J119" i="2"/>
  <c r="K119" i="2"/>
  <c r="H126" i="2"/>
  <c r="I126" i="2"/>
  <c r="J126" i="2"/>
  <c r="K126" i="2"/>
  <c r="G128" i="2"/>
  <c r="H128" i="2"/>
  <c r="I128" i="2"/>
  <c r="J128" i="2"/>
  <c r="K128" i="2"/>
  <c r="G129" i="2"/>
  <c r="H129" i="2"/>
  <c r="I129" i="2"/>
  <c r="J129" i="2"/>
  <c r="K129" i="2"/>
  <c r="H132" i="2"/>
  <c r="I132" i="2"/>
  <c r="J132" i="2"/>
  <c r="K132" i="2"/>
  <c r="G133" i="2"/>
  <c r="H133" i="2"/>
  <c r="I133" i="2"/>
  <c r="J133" i="2"/>
  <c r="K133" i="2"/>
  <c r="G135" i="2"/>
  <c r="H135" i="2"/>
  <c r="I135" i="2"/>
  <c r="J135" i="2"/>
  <c r="K135" i="2"/>
  <c r="G136" i="2"/>
  <c r="H136" i="2"/>
  <c r="I136" i="2"/>
  <c r="J136" i="2"/>
  <c r="K136" i="2"/>
  <c r="G142" i="2"/>
  <c r="H142" i="2"/>
  <c r="I142" i="2"/>
  <c r="J142" i="2"/>
  <c r="K142" i="2"/>
  <c r="G146" i="2"/>
  <c r="H146" i="2"/>
  <c r="I146" i="2"/>
  <c r="J146" i="2"/>
  <c r="K146" i="2"/>
  <c r="G147" i="2"/>
  <c r="H147" i="2"/>
  <c r="I147" i="2"/>
  <c r="J147" i="2"/>
  <c r="K147" i="2"/>
  <c r="G156" i="2"/>
  <c r="H156" i="2"/>
  <c r="I156" i="2"/>
  <c r="J156" i="2"/>
  <c r="K15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Unknown Author</author>
  </authors>
  <commentList>
    <comment ref="D11" authorId="0" shapeId="0" xr:uid="{00000000-0006-0000-0100-000005000000}">
      <text>
        <r>
          <rPr>
            <sz val="10"/>
            <rFont val="Arial"/>
            <family val="2"/>
          </rPr>
          <t>Front cover of Apple 2018 10K</t>
        </r>
      </text>
    </comment>
    <comment ref="C48" authorId="0" shapeId="0" xr:uid="{00000000-0006-0000-0100-000001000000}">
      <text>
        <r>
          <rPr>
            <sz val="10"/>
            <rFont val="Arial"/>
            <family val="2"/>
          </rPr>
          <t>Includes vendor non-trade receivables</t>
        </r>
      </text>
    </comment>
    <comment ref="C50" authorId="0" shapeId="0" xr:uid="{00000000-0006-0000-0100-000002000000}">
      <text>
        <r>
          <rPr>
            <sz val="10"/>
            <rFont val="Arial"/>
            <family val="2"/>
          </rPr>
          <t>AAPL started aggregating goodwill, intangible assets and other non current assets into one line item in 2018, with no footnote breakout of the individual line items. 10Ks prior to 2018 did have a breakout.</t>
        </r>
      </text>
    </comment>
    <comment ref="M101" authorId="0" shapeId="0" xr:uid="{00000000-0006-0000-0100-000006000000}">
      <text>
        <r>
          <rPr>
            <sz val="10"/>
            <rFont val="Arial"/>
            <family val="2"/>
          </rPr>
          <t>WSP estimate</t>
        </r>
      </text>
    </comment>
    <comment ref="C117" authorId="0" shapeId="0" xr:uid="{00000000-0006-0000-0100-000003000000}">
      <text>
        <r>
          <rPr>
            <sz val="10"/>
            <rFont val="Arial"/>
            <family val="2"/>
          </rPr>
          <t>Statement of shareholders equity schedule, p.41 Apple 2018 10K</t>
        </r>
      </text>
    </comment>
    <comment ref="C118" authorId="0" shapeId="0" xr:uid="{00000000-0006-0000-0100-000004000000}">
      <text>
        <r>
          <rPr>
            <sz val="10"/>
            <rFont val="Arial"/>
            <family val="2"/>
          </rPr>
          <t>Statement of shareholders equity schedule, p.41 Apple 2018 10K</t>
        </r>
      </text>
    </comment>
  </commentList>
</comments>
</file>

<file path=xl/sharedStrings.xml><?xml version="1.0" encoding="utf-8"?>
<sst xmlns="http://schemas.openxmlformats.org/spreadsheetml/2006/main" count="186" uniqueCount="119">
  <si>
    <t>$ in thousands except per share</t>
  </si>
  <si>
    <t>Company name</t>
  </si>
  <si>
    <t>Apple</t>
  </si>
  <si>
    <t>Ticker</t>
  </si>
  <si>
    <t>AAPL</t>
  </si>
  <si>
    <t>Circ break 1=off, 0=on</t>
  </si>
  <si>
    <t>Latest closing share price</t>
  </si>
  <si>
    <t>Latest closing share price date</t>
  </si>
  <si>
    <t>Latest fiscal year end date</t>
  </si>
  <si>
    <t>Shares outstanding (millions)</t>
  </si>
  <si>
    <t>INCOME STATEMENT</t>
  </si>
  <si>
    <t xml:space="preserve">Fiscal year  </t>
  </si>
  <si>
    <t>Fiscal year end date</t>
  </si>
  <si>
    <t>Revenue</t>
  </si>
  <si>
    <t>Cost of sales (enter as -)</t>
  </si>
  <si>
    <t>Gross Profit</t>
  </si>
  <si>
    <t>Research &amp; development (enter as -)</t>
  </si>
  <si>
    <t>Selling, general &amp; administrative (enter as -)</t>
  </si>
  <si>
    <t>Operating profit (EBIT)</t>
  </si>
  <si>
    <t>Interest income</t>
  </si>
  <si>
    <t>Interest expense (enter as -)</t>
  </si>
  <si>
    <t>Other expense, net (enter as -)</t>
  </si>
  <si>
    <t>Pretax profit</t>
  </si>
  <si>
    <t>Taxes (enter expense as -)</t>
  </si>
  <si>
    <t>Net income</t>
  </si>
  <si>
    <t>Depreciation &amp; amortization</t>
  </si>
  <si>
    <t>EBITDA</t>
  </si>
  <si>
    <t>Stock based compensation</t>
  </si>
  <si>
    <t>Adjusted EBITDA</t>
  </si>
  <si>
    <t xml:space="preserve">Growth rates &amp; margins </t>
  </si>
  <si>
    <t>Revenue growth</t>
  </si>
  <si>
    <t>Gross profit margin</t>
  </si>
  <si>
    <t>R&amp;D % of sales</t>
  </si>
  <si>
    <t>SG&amp;A % of sales</t>
  </si>
  <si>
    <t>Tax rate</t>
  </si>
  <si>
    <t>BALANCE SHEET</t>
  </si>
  <si>
    <t>2024A</t>
  </si>
  <si>
    <t>2025A</t>
  </si>
  <si>
    <t>Cash &amp; equivalents, ST and LT marketable securities</t>
  </si>
  <si>
    <t>Accounts receivable</t>
  </si>
  <si>
    <t>Inventories</t>
  </si>
  <si>
    <t>Other current assets</t>
  </si>
  <si>
    <t>Property, plant &amp; equipment</t>
  </si>
  <si>
    <t>Other non current assets</t>
  </si>
  <si>
    <t>Total assets</t>
  </si>
  <si>
    <t>Accounts payable</t>
  </si>
  <si>
    <t>Other current liabilities</t>
  </si>
  <si>
    <t>Deferred revenue (current and non current)</t>
  </si>
  <si>
    <t>Commercial paper / revolver</t>
  </si>
  <si>
    <t xml:space="preserve">Long term debt </t>
  </si>
  <si>
    <t>Other non current liabilities</t>
  </si>
  <si>
    <t>Total liabilities</t>
  </si>
  <si>
    <t>Common stock</t>
  </si>
  <si>
    <t xml:space="preserve">Retained earnings </t>
  </si>
  <si>
    <t>Other comprehensive income</t>
  </si>
  <si>
    <t>Total equity</t>
  </si>
  <si>
    <t>Balance check</t>
  </si>
  <si>
    <t>Additional data</t>
  </si>
  <si>
    <t>Capital expenditures (enter as +)</t>
  </si>
  <si>
    <t>D&amp;A related only to PP&amp;E (enter as -)</t>
  </si>
  <si>
    <t>Depreciation on PP&amp;E - Note 5, Apple FY2025 10-K p.39 (rounded to $0.1B)</t>
  </si>
  <si>
    <t>Dividends</t>
  </si>
  <si>
    <t>Statement of Shareholders' Equity - Apple FY2025 10-K p.32 (dividends declared)</t>
  </si>
  <si>
    <t>Repurchases</t>
  </si>
  <si>
    <t>Statement of Shareholders' Equity - Apple FY2025 10-K p.32 (repurchases)</t>
  </si>
  <si>
    <t>Weighted average interest rate on commercial paper</t>
  </si>
  <si>
    <t>Growth rates &amp; margins</t>
  </si>
  <si>
    <t>Long term debt (includes current portion)</t>
  </si>
  <si>
    <t>CASH FLOW STATEMENT</t>
  </si>
  <si>
    <t>Depreciation and amortization</t>
  </si>
  <si>
    <t>Decreases / (Increases) in working capital assets</t>
  </si>
  <si>
    <t>Increases / (Decreases) in working capital liabilities</t>
  </si>
  <si>
    <t>Cash from operating activities</t>
  </si>
  <si>
    <t>Capital expenditures</t>
  </si>
  <si>
    <t>Cash from investing activities</t>
  </si>
  <si>
    <t>Long term debt</t>
  </si>
  <si>
    <t>Revolver</t>
  </si>
  <si>
    <t>Share repurchases</t>
  </si>
  <si>
    <t>Common dividends</t>
  </si>
  <si>
    <t>Cash from financing activities</t>
  </si>
  <si>
    <t>Net change in cash during period</t>
  </si>
  <si>
    <t>PROPERTY, PLANT &amp; EQUIPMENT</t>
  </si>
  <si>
    <t>Forecast</t>
  </si>
  <si>
    <t>Beginning of period</t>
  </si>
  <si>
    <t>Plus: Capital expenditures</t>
  </si>
  <si>
    <t>Less: Depreciation</t>
  </si>
  <si>
    <t>End of period</t>
  </si>
  <si>
    <t>Step</t>
  </si>
  <si>
    <t>D&amp;A related to PP&amp;E as a % of capex</t>
  </si>
  <si>
    <t>IMPUTING TOTAL DEPRECIATION &amp; AMORTIZATION</t>
  </si>
  <si>
    <t>D&amp;A not related to PP&amp;E</t>
  </si>
  <si>
    <t>as % of revenue</t>
  </si>
  <si>
    <t xml:space="preserve">Depreciation &amp; Amortization - Total </t>
  </si>
  <si>
    <t>OTHER NON-CURRENT ASSETS</t>
  </si>
  <si>
    <t>Less: Amortization of intangible assets</t>
  </si>
  <si>
    <t xml:space="preserve">Plus: Additions </t>
  </si>
  <si>
    <t>RETAINED EARNINGS</t>
  </si>
  <si>
    <t>Plus: Net income</t>
  </si>
  <si>
    <t>Less: Dividends</t>
  </si>
  <si>
    <t>Less: Repurchases</t>
  </si>
  <si>
    <t>REVOLVER (MODEL PLUG)</t>
  </si>
  <si>
    <t>Revolver needs analysis</t>
  </si>
  <si>
    <t>Cash at beginning of period (BOP)</t>
  </si>
  <si>
    <t>Less: Minimum cash balance</t>
  </si>
  <si>
    <t>Plus: Free cash flows generated during period</t>
  </si>
  <si>
    <t>Equals: Cash available (needed) to pay down (draw from) revolver</t>
  </si>
  <si>
    <t>Commercial paper / Revolver</t>
  </si>
  <si>
    <t>Draw / (paydown)</t>
  </si>
  <si>
    <t>Discretionary borrowing / (paydown)</t>
  </si>
  <si>
    <t>Debt balance:</t>
  </si>
  <si>
    <t>INTEREST EXPENSE AND INTEREST INCOME</t>
  </si>
  <si>
    <t>Total interest expense (from I/S)</t>
  </si>
  <si>
    <t>Commercial Paper / Revolver</t>
  </si>
  <si>
    <t>Weighted average interest rate</t>
  </si>
  <si>
    <t>End of period balance (from B/S)</t>
  </si>
  <si>
    <t>Interest expense</t>
  </si>
  <si>
    <t xml:space="preserve">Interest expense </t>
  </si>
  <si>
    <t>Interest rate on cash</t>
  </si>
  <si>
    <t>Weighted average interest rate on cash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</si>
</sst>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7">
    <numFmt numFmtId="164" formatCode="#,##0.00_);\(#,##0\)"/>
    <numFmt numFmtId="165" formatCode="#,##0.0%_);\(#,##0.0%\)"/>
    <numFmt numFmtId="166" formatCode="0.0&quot; x&quot;"/>
    <numFmt numFmtId="167" formatCode="#,##0.00\ ;\(#,##0.00\)"/>
    <numFmt numFmtId="168" formatCode="\$#,##0.00\ ;&quot;($&quot;#,##0.00\)"/>
    <numFmt numFmtId="169" formatCode="0.0%_);\(0.0%\)"/>
    <numFmt numFmtId="170" formatCode="[&gt;1]&quot;10Q: &quot;0&quot; qtrs&quot;;&quot;10Q: &quot;0&quot; qtr&quot;"/>
    <numFmt numFmtId="171" formatCode="0.000&quot; xrate&quot;"/>
    <numFmt numFmtId="172" formatCode="#,##0.000_);[Red]\(#,##0.000\)"/>
    <numFmt numFmtId="173" formatCode="_(* #,##0.00_);_(* \(#,##0.00\);_(* \-??_);_(@_)"/>
    <numFmt numFmtId="174" formatCode="0.00_);\(0.00\);0.00"/>
    <numFmt numFmtId="175" formatCode="\$#,##0.00_);&quot;($&quot;#,##0.00\)"/>
    <numFmt numFmtId="176" formatCode="\$#,##0.00_);[Red]&quot;($&quot;#,##0.00\);&quot;--  &quot;;_(@_)"/>
    <numFmt numFmtId="177" formatCode="\$#,##0_);&quot;($&quot;#,##0\)"/>
    <numFmt numFmtId="178" formatCode="&quot;C$&quot;#,##0.00_);[Red]&quot;($&quot;#,##0.00\)"/>
    <numFmt numFmtId="179" formatCode="#,##0%_);\(#,##0.0%\)"/>
    <numFmt numFmtId="180" formatCode="_(* #,##0.00000000_);_(* \(#,##0.00000000\);_(* \-?_);_(@_)"/>
    <numFmt numFmtId="181" formatCode="mmm\-d\-yyyy"/>
    <numFmt numFmtId="182" formatCode="mmm\-dd\-yy"/>
    <numFmt numFmtId="183" formatCode="mmm\-dd\-yyyy"/>
    <numFmt numFmtId="184" formatCode="mmm\-yyyy"/>
    <numFmt numFmtId="185" formatCode="m/d/yyyy"/>
    <numFmt numFmtId="186" formatCode="yyyy"/>
    <numFmt numFmtId="187" formatCode="0.00&quot;xrate&quot;"/>
    <numFmt numFmtId="188" formatCode="\$#,##0.00_);[Red]&quot;($&quot;#,##0.00\)"/>
    <numFmt numFmtId="189" formatCode="\$#,##0_);[Red]&quot;($&quot;#,##0\)"/>
    <numFmt numFmtId="190" formatCode="0.0&quot;  &quot;"/>
    <numFmt numFmtId="191" formatCode="\$#,##0.0\ ;[Red]&quot;($&quot;#,##0\)"/>
    <numFmt numFmtId="192" formatCode="\$#,##0.000_);[Red]&quot;($&quot;#,##0.000\)"/>
    <numFmt numFmtId="193" formatCode="\$#,##0.00\A;[Red]&quot;($&quot;#,##0.00&quot;)A&quot;"/>
    <numFmt numFmtId="194" formatCode="#,##0.0\ ;[Red]&quot;($&quot;#,##0\)"/>
    <numFmt numFmtId="195" formatCode="\$#,##0.00\E;[Red]&quot;($&quot;#,##0.00&quot;)E&quot;"/>
    <numFmt numFmtId="196" formatCode="_([$€-2]* #,##0.00_);_([$€-2]* \(#,##0.00\);_([$€-2]* \-??_)"/>
    <numFmt numFmtId="197" formatCode="#,##0.00;\(#,##0.00\)"/>
    <numFmt numFmtId="198" formatCode=".%&quot;,(&quot;0\.0%%;\t"/>
    <numFmt numFmtId="199" formatCode="#,##0.0_);[Red]\(#,##0.0\)"/>
    <numFmt numFmtId="200" formatCode="0.0%_);[Red]\(0.0%\)"/>
    <numFmt numFmtId="201" formatCode="0.00_);\(0.00\);0.00_)"/>
    <numFmt numFmtId="202" formatCode="0.0%"/>
    <numFmt numFmtId="203" formatCode="#,##0\x"/>
    <numFmt numFmtId="204" formatCode="&quot;TKR &quot;0"/>
    <numFmt numFmtId="205" formatCode=".%&quot;,(&quot;0\.%%;\t"/>
    <numFmt numFmtId="206" formatCode="\$#,###.0&quot;  &quot;"/>
    <numFmt numFmtId="207" formatCode="#,##0.00\x_);[Red]\(#,##0.00&quot;x)&quot;"/>
    <numFmt numFmtId="208" formatCode="#,##0.0_);\(#,##0.0\)"/>
    <numFmt numFmtId="209" formatCode="#,##0.000_);\(#,##0.000\)"/>
    <numFmt numFmtId="210" formatCode="#,##0.0_);[Red]\(#,##0.0\);&quot;--  &quot;"/>
    <numFmt numFmtId="211" formatCode="#,##0.00\x_);[Red]\(#,##0.00&quot;x)&quot;;&quot;--  &quot;"/>
    <numFmt numFmtId="212" formatCode="_(* #,##0.0_);_(* \(#,##0.0\);_(* \-??_);_(@_)"/>
    <numFmt numFmtId="213" formatCode="0.0\x_);[Red]\(0.0&quot;x)&quot;"/>
    <numFmt numFmtId="214" formatCode="0.0\ "/>
    <numFmt numFmtId="215" formatCode="\$#,##0.0;&quot;($&quot;#,##0.00\)"/>
    <numFmt numFmtId="216" formatCode="#,##0.00%_);\(#,##0.00%\)"/>
    <numFmt numFmtId="217" formatCode="0.00\%;\-0.00\%;0.00\%"/>
    <numFmt numFmtId="218" formatCode="0.0%\ ;\(0.0%\)"/>
    <numFmt numFmtId="219" formatCode="_(\$* #,##0_);_(\$* \(#,##0\);_(\$* \-??_);_(@_)"/>
    <numFmt numFmtId="220" formatCode="\$0.00\ "/>
    <numFmt numFmtId="221" formatCode="0.0&quot;     &quot;"/>
    <numFmt numFmtId="222" formatCode="0.00\x;\-0.00\x;0.00\x"/>
    <numFmt numFmtId="223" formatCode="\$#,##0.000_);&quot;($&quot;#,##0.000\)"/>
    <numFmt numFmtId="224" formatCode="#,##0.0_);\(#,##0.0\);_(* \-_)"/>
    <numFmt numFmtId="225" formatCode="_(\$* #,##0.00_);_(\$* \(#,##0.00\);_(* \-_);_(@_)"/>
    <numFmt numFmtId="226" formatCode="0.00%_);[Red]\(0.00%\)"/>
    <numFmt numFmtId="227" formatCode="0.00\x"/>
    <numFmt numFmtId="228" formatCode="#,##0.0\x_);\(#,##0.0&quot;x)&quot;"/>
    <numFmt numFmtId="229" formatCode="#,##0.00\x_);\(#,##0.00&quot;x)&quot;"/>
    <numFmt numFmtId="230" formatCode="###0\E_)"/>
    <numFmt numFmtId="231" formatCode="0.0&quot; years&quot;"/>
    <numFmt numFmtId="232" formatCode="_(#,##0_)_%;\(#,##0\)_%;_(\–_)_%;_(@_)_%"/>
    <numFmt numFmtId="233" formatCode="m/d/yy;@"/>
    <numFmt numFmtId="234" formatCode="0\A;[Red]0\A"/>
    <numFmt numFmtId="235" formatCode="0_);\(0\)"/>
    <numFmt numFmtId="236" formatCode="_(#,##0.0%_);\(#,##0.0%\);_(\–_)_%;_(@_)_%"/>
    <numFmt numFmtId="237" formatCode="0.0%_);\(0.0%\);@_)"/>
    <numFmt numFmtId="238" formatCode="0\P_);\(0&quot;P)&quot;"/>
    <numFmt numFmtId="239" formatCode="0.00%_);\(0.00%\);@_)"/>
    <numFmt numFmtId="240" formatCode="_(#,##0.00%_);\(#,##0.00%\);_(\–_)_%;_(@_)_%"/>
  </numFmts>
  <fonts count="81">
    <font>
      <sz val="11"/>
      <color theme="1"/>
      <name val="Calibri"/>
      <family val="2"/>
      <charset val="1"/>
    </font>
    <font>
      <sz val="10"/>
      <name val="Arial"/>
      <family val="2"/>
    </font>
    <font>
      <sz val="10"/>
      <name val="GillSans"/>
      <charset val="1"/>
    </font>
    <font>
      <sz val="8"/>
      <color rgb="FF33CCCC"/>
      <name val="Times New Roman"/>
      <family val="1"/>
      <charset val="1"/>
    </font>
    <font>
      <sz val="10"/>
      <name val="Arial"/>
      <family val="2"/>
      <charset val="1"/>
    </font>
    <font>
      <b/>
      <sz val="8"/>
      <name val="Arial"/>
      <family val="2"/>
      <charset val="1"/>
    </font>
    <font>
      <sz val="10"/>
      <name val="Trebuchet MS"/>
      <family val="2"/>
      <charset val="1"/>
    </font>
    <font>
      <sz val="11"/>
      <color rgb="FF000000"/>
      <name val="Calibri"/>
      <family val="2"/>
      <charset val="1"/>
    </font>
    <font>
      <sz val="11"/>
      <color rgb="FFFFFFFF"/>
      <name val="Calibri"/>
      <family val="2"/>
      <charset val="1"/>
    </font>
    <font>
      <sz val="11"/>
      <color rgb="FF800080"/>
      <name val="Calibri"/>
      <family val="2"/>
      <charset val="1"/>
    </font>
    <font>
      <sz val="8"/>
      <name val="Times New Roman"/>
      <family val="1"/>
      <charset val="1"/>
    </font>
    <font>
      <sz val="10"/>
      <name val="Times New Roman"/>
      <family val="1"/>
      <charset val="1"/>
    </font>
    <font>
      <b/>
      <sz val="18"/>
      <name val="Times New Roman"/>
      <family val="1"/>
      <charset val="1"/>
    </font>
    <font>
      <b/>
      <sz val="11"/>
      <color rgb="FFFF9900"/>
      <name val="Calibri"/>
      <family val="2"/>
      <charset val="1"/>
    </font>
    <font>
      <sz val="10"/>
      <color rgb="FF000000"/>
      <name val="Arial"/>
      <family val="2"/>
      <charset val="1"/>
    </font>
    <font>
      <b/>
      <sz val="11"/>
      <color rgb="FFFFFFFF"/>
      <name val="Calibri"/>
      <family val="2"/>
      <charset val="1"/>
    </font>
    <font>
      <b/>
      <sz val="8"/>
      <color rgb="FF000000"/>
      <name val="Verdana"/>
      <family val="2"/>
      <charset val="1"/>
    </font>
    <font>
      <b/>
      <sz val="7"/>
      <name val="GillSans"/>
      <charset val="1"/>
    </font>
    <font>
      <b/>
      <u/>
      <sz val="8"/>
      <color rgb="FF000000"/>
      <name val="Arial"/>
      <family val="2"/>
      <charset val="1"/>
    </font>
    <font>
      <sz val="10"/>
      <name val="Geneva"/>
      <family val="2"/>
      <charset val="1"/>
    </font>
    <font>
      <sz val="24"/>
      <name val="Arial"/>
      <family val="2"/>
      <charset val="1"/>
    </font>
    <font>
      <sz val="8"/>
      <name val="Arial"/>
      <family val="2"/>
      <charset val="1"/>
    </font>
    <font>
      <sz val="8"/>
      <color rgb="FF0000FF"/>
      <name val="Arial"/>
      <family val="2"/>
      <charset val="1"/>
    </font>
    <font>
      <b/>
      <sz val="8"/>
      <name val="Times New Roman"/>
      <family val="1"/>
      <charset val="1"/>
    </font>
    <font>
      <i/>
      <sz val="11"/>
      <color rgb="FF808080"/>
      <name val="Calibri"/>
      <family val="2"/>
      <charset val="1"/>
    </font>
    <font>
      <sz val="11"/>
      <color rgb="FF008000"/>
      <name val="Calibri"/>
      <family val="2"/>
      <charset val="1"/>
    </font>
    <font>
      <i/>
      <sz val="8"/>
      <color rgb="FF008000"/>
      <name val="Times New Roman"/>
      <family val="1"/>
      <charset val="1"/>
    </font>
    <font>
      <sz val="8"/>
      <color rgb="FF008080"/>
      <name val="Arial"/>
      <family val="2"/>
      <charset val="1"/>
    </font>
    <font>
      <b/>
      <sz val="15"/>
      <color rgb="FF003366"/>
      <name val="Calibri"/>
      <family val="2"/>
      <charset val="1"/>
    </font>
    <font>
      <b/>
      <sz val="13"/>
      <color rgb="FF003366"/>
      <name val="Calibri"/>
      <family val="2"/>
      <charset val="1"/>
    </font>
    <font>
      <b/>
      <sz val="11"/>
      <color rgb="FF003366"/>
      <name val="Calibri"/>
      <family val="2"/>
      <charset val="1"/>
    </font>
    <font>
      <sz val="10"/>
      <color rgb="FF0000FF"/>
      <name val="Trebuchet MS"/>
      <family val="2"/>
      <charset val="1"/>
    </font>
    <font>
      <sz val="10"/>
      <name val="MS Sans Serif"/>
      <family val="2"/>
      <charset val="1"/>
    </font>
    <font>
      <sz val="11"/>
      <color rgb="FF333399"/>
      <name val="Calibri"/>
      <family val="2"/>
      <charset val="1"/>
    </font>
    <font>
      <b/>
      <sz val="10"/>
      <color rgb="FFFFFFFF"/>
      <name val="Times New Roman"/>
      <family val="1"/>
      <charset val="1"/>
    </font>
    <font>
      <sz val="1"/>
      <color rgb="FFFFFFFF"/>
      <name val="Symbol"/>
      <family val="1"/>
      <charset val="2"/>
    </font>
    <font>
      <b/>
      <sz val="10"/>
      <name val="Arial"/>
      <family val="2"/>
      <charset val="1"/>
    </font>
    <font>
      <sz val="11"/>
      <color rgb="FFFF9900"/>
      <name val="Calibri"/>
      <family val="2"/>
      <charset val="1"/>
    </font>
    <font>
      <sz val="8"/>
      <color rgb="FF000080"/>
      <name val="Times New Roman"/>
      <family val="1"/>
      <charset val="1"/>
    </font>
    <font>
      <sz val="11"/>
      <color rgb="FF993300"/>
      <name val="Calibri"/>
      <family val="2"/>
      <charset val="1"/>
    </font>
    <font>
      <b/>
      <u/>
      <sz val="8"/>
      <color rgb="FF000000"/>
      <name val="Verdana"/>
      <family val="2"/>
      <charset val="1"/>
    </font>
    <font>
      <b/>
      <sz val="10"/>
      <color rgb="FFFFFFFF"/>
      <name val="Arial"/>
      <family val="2"/>
      <charset val="1"/>
    </font>
    <font>
      <b/>
      <sz val="12"/>
      <color rgb="FF000000"/>
      <name val="Verdana"/>
      <family val="2"/>
      <charset val="1"/>
    </font>
    <font>
      <b/>
      <sz val="11"/>
      <color rgb="FF333333"/>
      <name val="Calibri"/>
      <family val="2"/>
      <charset val="1"/>
    </font>
    <font>
      <sz val="10"/>
      <name val="Palatino"/>
      <family val="1"/>
      <charset val="1"/>
    </font>
    <font>
      <sz val="12"/>
      <name val="Baskerville MT"/>
      <charset val="1"/>
    </font>
    <font>
      <u/>
      <sz val="10"/>
      <name val="GillSans"/>
      <family val="2"/>
      <charset val="1"/>
    </font>
    <font>
      <sz val="8"/>
      <color rgb="FFFF0000"/>
      <name val="Arial"/>
      <family val="2"/>
      <charset val="1"/>
    </font>
    <font>
      <sz val="10"/>
      <name val="GillSans Light"/>
      <charset val="1"/>
    </font>
    <font>
      <b/>
      <sz val="8"/>
      <color rgb="FFFFFFFF"/>
      <name val="Verdana"/>
      <family val="2"/>
      <charset val="1"/>
    </font>
    <font>
      <b/>
      <sz val="12"/>
      <name val="Arial"/>
      <family val="2"/>
      <charset val="1"/>
    </font>
    <font>
      <b/>
      <sz val="16"/>
      <name val="Arial"/>
      <family val="2"/>
      <charset val="1"/>
    </font>
    <font>
      <sz val="8"/>
      <name val="MS Sans Serif"/>
      <family val="2"/>
      <charset val="1"/>
    </font>
    <font>
      <sz val="8.25"/>
      <color rgb="FF000000"/>
      <name val="Arial"/>
      <family val="2"/>
      <charset val="1"/>
    </font>
    <font>
      <sz val="8"/>
      <color rgb="FF000000"/>
      <name val="Arial"/>
      <family val="2"/>
      <charset val="1"/>
    </font>
    <font>
      <sz val="7"/>
      <name val="Times New Roman"/>
      <family val="1"/>
      <charset val="1"/>
    </font>
    <font>
      <sz val="7"/>
      <color rgb="FF008000"/>
      <name val="Times New Roman"/>
      <family val="1"/>
      <charset val="1"/>
    </font>
    <font>
      <sz val="7"/>
      <color rgb="FF000080"/>
      <name val="Times New Roman"/>
      <family val="1"/>
      <charset val="1"/>
    </font>
    <font>
      <b/>
      <sz val="12"/>
      <name val="GillSans"/>
      <family val="2"/>
      <charset val="1"/>
    </font>
    <font>
      <b/>
      <sz val="8"/>
      <color rgb="FF000000"/>
      <name val="Arial"/>
      <family val="2"/>
      <charset val="1"/>
    </font>
    <font>
      <i/>
      <sz val="8"/>
      <color rgb="FF000000"/>
      <name val="Arial"/>
      <family val="2"/>
      <charset val="1"/>
    </font>
    <font>
      <b/>
      <sz val="18"/>
      <color rgb="FF003366"/>
      <name val="Cambria"/>
      <family val="2"/>
      <charset val="1"/>
    </font>
    <font>
      <b/>
      <sz val="11"/>
      <name val="GillSans"/>
      <charset val="1"/>
    </font>
    <font>
      <b/>
      <sz val="8"/>
      <color rgb="FF000080"/>
      <name val="Times New Roman"/>
      <family val="1"/>
      <charset val="1"/>
    </font>
    <font>
      <b/>
      <sz val="13"/>
      <color rgb="FF000000"/>
      <name val="Verdana"/>
      <family val="2"/>
      <charset val="1"/>
    </font>
    <font>
      <i/>
      <sz val="8"/>
      <name val="Times New Roman"/>
      <family val="1"/>
      <charset val="1"/>
    </font>
    <font>
      <u/>
      <sz val="11"/>
      <name val="GillSans"/>
      <family val="2"/>
      <charset val="1"/>
    </font>
    <font>
      <b/>
      <sz val="11"/>
      <color rgb="FF000000"/>
      <name val="Calibri"/>
      <family val="2"/>
      <charset val="1"/>
    </font>
    <font>
      <sz val="11"/>
      <color rgb="FFFF0000"/>
      <name val="Calibri"/>
      <family val="2"/>
      <charset val="1"/>
    </font>
    <font>
      <b/>
      <sz val="11"/>
      <color theme="1"/>
      <name val="Calibri"/>
      <family val="2"/>
      <charset val="1"/>
    </font>
    <font>
      <i/>
      <sz val="11"/>
      <color rgb="FF000000"/>
      <name val="Calibri"/>
      <family val="2"/>
      <charset val="1"/>
    </font>
    <font>
      <sz val="11"/>
      <color rgb="FF0000FF"/>
      <name val="Calibri"/>
      <family val="2"/>
      <charset val="1"/>
    </font>
    <font>
      <i/>
      <sz val="11"/>
      <color theme="1"/>
      <name val="Calibri"/>
      <family val="2"/>
      <charset val="1"/>
    </font>
    <font>
      <i/>
      <sz val="11"/>
      <color rgb="FF0000FF"/>
      <name val="Calibri"/>
      <family val="2"/>
      <charset val="1"/>
    </font>
    <font>
      <u/>
      <sz val="11"/>
      <color theme="1"/>
      <name val="Calibri"/>
      <family val="2"/>
      <charset val="1"/>
    </font>
    <font>
      <sz val="9"/>
      <color rgb="FF008000"/>
      <name val="Calibri"/>
      <family val="2"/>
      <charset val="1"/>
    </font>
    <font>
      <sz val="8"/>
      <color rgb="FFFF0000"/>
      <name val="Calibri"/>
      <family val="2"/>
      <charset val="1"/>
    </font>
    <font>
      <sz val="11"/>
      <color rgb="FF000000"/>
      <name val="Times New Roman"/>
      <family val="1"/>
      <charset val="1"/>
    </font>
    <font>
      <b/>
      <u/>
      <sz val="11"/>
      <color theme="1"/>
      <name val="Calibri"/>
      <family val="2"/>
      <charset val="1"/>
    </font>
    <font>
      <sz val="11"/>
      <name val="Calibri"/>
      <family val="2"/>
      <charset val="1"/>
    </font>
    <font>
      <sz val="11"/>
      <color theme="1"/>
      <name val="Calibri"/>
      <family val="2"/>
      <charset val="1"/>
    </font>
  </fonts>
  <fills count="37">
    <fill>
      <patternFill patternType="none"/>
    </fill>
    <fill>
      <patternFill patternType="gray125"/>
    </fill>
    <fill>
      <patternFill patternType="solid">
        <fgColor rgb="FFC0C0C0"/>
        <bgColor rgb="FFC0C0FF"/>
      </patternFill>
    </fill>
    <fill>
      <patternFill patternType="solid">
        <fgColor rgb="FFCCCCFF"/>
        <bgColor rgb="FFC9DAF8"/>
      </patternFill>
    </fill>
    <fill>
      <patternFill patternType="solid">
        <fgColor rgb="FFFF99CC"/>
        <bgColor rgb="FFFF8080"/>
      </patternFill>
    </fill>
    <fill>
      <patternFill patternType="solid">
        <fgColor rgb="FFCCFFCC"/>
        <bgColor rgb="FFCCFFFF"/>
      </patternFill>
    </fill>
    <fill>
      <patternFill patternType="solid">
        <fgColor rgb="FFCC99FF"/>
        <bgColor rgb="FFC0C0FF"/>
      </patternFill>
    </fill>
    <fill>
      <patternFill patternType="solid">
        <fgColor rgb="FFCCFFFF"/>
        <bgColor rgb="FFD2F2FF"/>
      </patternFill>
    </fill>
    <fill>
      <patternFill patternType="solid">
        <fgColor rgb="FFFFCC99"/>
        <bgColor rgb="FFF4CCCC"/>
      </patternFill>
    </fill>
    <fill>
      <patternFill patternType="solid">
        <fgColor rgb="FF99CCFF"/>
        <bgColor rgb="FFC0C0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4BACC6"/>
      </patternFill>
    </fill>
    <fill>
      <patternFill patternType="solid">
        <fgColor rgb="FFFF9900"/>
        <bgColor rgb="FFFFCC00"/>
      </patternFill>
    </fill>
    <fill>
      <patternFill patternType="solid">
        <fgColor rgb="FF333399"/>
        <bgColor rgb="FF003366"/>
      </patternFill>
    </fill>
    <fill>
      <patternFill patternType="solid">
        <fgColor rgb="FFFF0000"/>
        <bgColor rgb="FF9C0006"/>
      </patternFill>
    </fill>
    <fill>
      <patternFill patternType="solid">
        <fgColor rgb="FF339966"/>
        <bgColor rgb="FF008080"/>
      </patternFill>
    </fill>
    <fill>
      <patternFill patternType="solid">
        <fgColor rgb="FFFF6600"/>
        <bgColor rgb="FFFF9900"/>
      </patternFill>
    </fill>
    <fill>
      <patternFill patternType="solid">
        <fgColor rgb="FF969696"/>
        <bgColor rgb="FF808080"/>
      </patternFill>
    </fill>
    <fill>
      <patternFill patternType="solid">
        <fgColor rgb="FF993300"/>
        <bgColor rgb="FF993366"/>
      </patternFill>
    </fill>
    <fill>
      <patternFill patternType="solid">
        <fgColor rgb="FFC0C0FF"/>
        <bgColor rgb="FFCCCCFF"/>
      </patternFill>
    </fill>
    <fill>
      <patternFill patternType="solid">
        <fgColor rgb="FFFFFFCC"/>
        <bgColor rgb="FFFFFFFF"/>
      </patternFill>
    </fill>
    <fill>
      <patternFill patternType="solid">
        <fgColor rgb="FF00FFFF"/>
        <bgColor rgb="FF33CCCC"/>
      </patternFill>
    </fill>
    <fill>
      <patternFill patternType="solid">
        <fgColor rgb="FFFFFF99"/>
        <bgColor rgb="FFFFFFCC"/>
      </patternFill>
    </fill>
    <fill>
      <patternFill patternType="solid">
        <fgColor rgb="FF000000"/>
        <bgColor rgb="FF003300"/>
      </patternFill>
    </fill>
    <fill>
      <patternFill patternType="solid">
        <fgColor rgb="FFFFFF00"/>
        <bgColor rgb="FFFFCC00"/>
      </patternFill>
    </fill>
    <fill>
      <patternFill patternType="solid">
        <fgColor rgb="FF808080"/>
        <bgColor rgb="FF969696"/>
      </patternFill>
    </fill>
    <fill>
      <patternFill patternType="solid">
        <fgColor rgb="FF333333"/>
        <bgColor rgb="FF333300"/>
      </patternFill>
    </fill>
    <fill>
      <patternFill patternType="solid">
        <fgColor rgb="FF003366"/>
        <bgColor rgb="FF333399"/>
      </patternFill>
    </fill>
    <fill>
      <patternFill patternType="solid">
        <fgColor rgb="FF993366"/>
        <bgColor rgb="FF993366"/>
      </patternFill>
    </fill>
    <fill>
      <patternFill patternType="solid">
        <fgColor rgb="FFE0E0E0"/>
        <bgColor rgb="FFEEECE1"/>
      </patternFill>
    </fill>
    <fill>
      <patternFill patternType="solid">
        <fgColor rgb="FFFCE5CD"/>
        <bgColor rgb="FFEEECE1"/>
      </patternFill>
    </fill>
    <fill>
      <patternFill patternType="solid">
        <fgColor rgb="FFC9DAF8"/>
        <bgColor rgb="FFCCCCFF"/>
      </patternFill>
    </fill>
    <fill>
      <patternFill patternType="solid">
        <fgColor rgb="FFF4CCCC"/>
        <bgColor rgb="FFFFCC99"/>
      </patternFill>
    </fill>
  </fills>
  <borders count="29">
    <border>
      <left/>
      <right/>
      <top/>
      <bottom/>
      <diagonal/>
    </border>
    <border>
      <left style="thin">
        <color rgb="FF808080"/>
      </left>
      <right style="thin">
        <color rgb="FF808080"/>
      </right>
      <top style="thin">
        <color rgb="FF808080"/>
      </top>
      <bottom style="thin">
        <color rgb="FF808080"/>
      </bottom>
      <diagonal/>
    </border>
    <border>
      <left/>
      <right/>
      <top/>
      <bottom style="double">
        <color auto="1"/>
      </bottom>
      <diagonal/>
    </border>
    <border>
      <left style="double">
        <color rgb="FF333333"/>
      </left>
      <right style="double">
        <color rgb="FF333333"/>
      </right>
      <top style="double">
        <color rgb="FF333333"/>
      </top>
      <bottom style="double">
        <color rgb="FF333333"/>
      </bottom>
      <diagonal/>
    </border>
    <border>
      <left/>
      <right/>
      <top/>
      <bottom style="thin">
        <color auto="1"/>
      </bottom>
      <diagonal/>
    </border>
    <border>
      <left style="thin">
        <color rgb="FF808080"/>
      </left>
      <right style="thin">
        <color rgb="FF808080"/>
      </right>
      <top/>
      <bottom/>
      <diagonal/>
    </border>
    <border>
      <left/>
      <right style="thin">
        <color auto="1"/>
      </right>
      <top/>
      <bottom/>
      <diagonal/>
    </border>
    <border>
      <left style="thin">
        <color auto="1"/>
      </left>
      <right style="thin">
        <color auto="1"/>
      </right>
      <top/>
      <bottom style="thin">
        <color auto="1"/>
      </bottom>
      <diagonal/>
    </border>
    <border>
      <left style="thin">
        <color rgb="FFFFFFFF"/>
      </left>
      <right style="thin">
        <color rgb="FFFFFFFF"/>
      </right>
      <top/>
      <bottom/>
      <diagonal/>
    </border>
    <border>
      <left style="thin">
        <color auto="1"/>
      </left>
      <right style="thin">
        <color auto="1"/>
      </right>
      <top style="thin">
        <color auto="1"/>
      </top>
      <bottom style="thin">
        <color auto="1"/>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
      <left/>
      <right style="hair">
        <color auto="1"/>
      </right>
      <top/>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style="thin">
        <color auto="1"/>
      </right>
      <top style="thin">
        <color auto="1"/>
      </top>
      <bottom/>
      <diagonal/>
    </border>
    <border>
      <left/>
      <right/>
      <top/>
      <bottom style="thick">
        <color auto="1"/>
      </bottom>
      <diagonal/>
    </border>
    <border>
      <left/>
      <right/>
      <top style="thin">
        <color rgb="FF333399"/>
      </top>
      <bottom style="double">
        <color rgb="FF333399"/>
      </bottom>
      <diagonal/>
    </border>
    <border>
      <left/>
      <right/>
      <top style="medium">
        <color auto="1"/>
      </top>
      <bottom style="medium">
        <color auto="1"/>
      </bottom>
      <diagonal/>
    </border>
    <border>
      <left/>
      <right/>
      <top style="medium">
        <color auto="1"/>
      </top>
      <bottom/>
      <diagonal/>
    </border>
    <border>
      <left style="hair">
        <color auto="1"/>
      </left>
      <right style="hair">
        <color auto="1"/>
      </right>
      <top style="hair">
        <color auto="1"/>
      </top>
      <bottom style="hair">
        <color auto="1"/>
      </bottom>
      <diagonal/>
    </border>
    <border>
      <left/>
      <right/>
      <top/>
      <bottom style="hair">
        <color auto="1"/>
      </bottom>
      <diagonal/>
    </border>
    <border>
      <left/>
      <right/>
      <top style="thin">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auto="1"/>
      </top>
      <bottom/>
      <diagonal/>
    </border>
  </borders>
  <cellStyleXfs count="210">
    <xf numFmtId="0" fontId="0" fillId="0" borderId="0"/>
    <xf numFmtId="173" fontId="80" fillId="0" borderId="0"/>
    <xf numFmtId="0" fontId="2" fillId="0" borderId="0"/>
    <xf numFmtId="164" fontId="2" fillId="0" borderId="0">
      <alignment horizontal="right"/>
    </xf>
    <xf numFmtId="165" fontId="2" fillId="2" borderId="0"/>
    <xf numFmtId="166" fontId="2" fillId="2" borderId="0"/>
    <xf numFmtId="167" fontId="2" fillId="2" borderId="0"/>
    <xf numFmtId="168" fontId="2" fillId="2" borderId="0">
      <alignment horizontal="right"/>
    </xf>
    <xf numFmtId="169" fontId="3" fillId="0" borderId="0"/>
    <xf numFmtId="0" fontId="4" fillId="0" borderId="0"/>
    <xf numFmtId="170" fontId="5" fillId="0" borderId="0">
      <alignment horizontal="right"/>
    </xf>
    <xf numFmtId="171" fontId="6" fillId="0" borderId="0"/>
    <xf numFmtId="0" fontId="7" fillId="3" borderId="0"/>
    <xf numFmtId="0" fontId="7" fillId="4" borderId="0"/>
    <xf numFmtId="0" fontId="7" fillId="5" borderId="0"/>
    <xf numFmtId="0" fontId="7" fillId="6" borderId="0"/>
    <xf numFmtId="0" fontId="7" fillId="7" borderId="0"/>
    <xf numFmtId="0" fontId="7" fillId="8" borderId="0"/>
    <xf numFmtId="0" fontId="7" fillId="9" borderId="0"/>
    <xf numFmtId="0" fontId="7" fillId="10" borderId="0"/>
    <xf numFmtId="0" fontId="7" fillId="11" borderId="0"/>
    <xf numFmtId="0" fontId="7" fillId="6" borderId="0"/>
    <xf numFmtId="0" fontId="7" fillId="9" borderId="0"/>
    <xf numFmtId="0" fontId="7" fillId="12" borderId="0"/>
    <xf numFmtId="0" fontId="8" fillId="13" borderId="0"/>
    <xf numFmtId="0" fontId="8" fillId="10" borderId="0"/>
    <xf numFmtId="0" fontId="8" fillId="11" borderId="0"/>
    <xf numFmtId="0" fontId="8" fillId="14" borderId="0"/>
    <xf numFmtId="0" fontId="8" fillId="15" borderId="0"/>
    <xf numFmtId="0" fontId="8" fillId="16" borderId="0"/>
    <xf numFmtId="0" fontId="8" fillId="17" borderId="0"/>
    <xf numFmtId="0" fontId="8" fillId="18" borderId="0"/>
    <xf numFmtId="0" fontId="8" fillId="19" borderId="0"/>
    <xf numFmtId="0" fontId="8" fillId="14" borderId="0"/>
    <xf numFmtId="0" fontId="8" fillId="15" borderId="0"/>
    <xf numFmtId="0" fontId="8" fillId="20" borderId="0"/>
    <xf numFmtId="0" fontId="6" fillId="0" borderId="0"/>
    <xf numFmtId="0" fontId="9" fillId="4" borderId="0"/>
    <xf numFmtId="172" fontId="10" fillId="0" borderId="0"/>
    <xf numFmtId="38" fontId="10" fillId="0" borderId="0">
      <protection locked="0"/>
    </xf>
    <xf numFmtId="0" fontId="11" fillId="0" borderId="0"/>
    <xf numFmtId="37" fontId="12" fillId="0" borderId="0">
      <alignment horizontal="center"/>
    </xf>
    <xf numFmtId="0" fontId="13" fillId="2" borderId="1"/>
    <xf numFmtId="172" fontId="10" fillId="0" borderId="0">
      <protection locked="0"/>
    </xf>
    <xf numFmtId="0" fontId="14" fillId="0" borderId="0"/>
    <xf numFmtId="172" fontId="10" fillId="0" borderId="2"/>
    <xf numFmtId="0" fontId="15" fillId="21" borderId="3"/>
    <xf numFmtId="0" fontId="16" fillId="0" borderId="0"/>
    <xf numFmtId="0" fontId="4" fillId="0" borderId="0">
      <alignment horizontal="center" wrapText="1"/>
      <protection hidden="1"/>
    </xf>
    <xf numFmtId="0" fontId="17" fillId="0" borderId="4">
      <alignment horizontal="left" vertical="center"/>
    </xf>
    <xf numFmtId="0" fontId="17" fillId="0" borderId="4">
      <alignment horizontal="right" vertical="center"/>
    </xf>
    <xf numFmtId="0" fontId="18" fillId="22" borderId="0"/>
    <xf numFmtId="173" fontId="4" fillId="0" borderId="0"/>
    <xf numFmtId="37" fontId="19" fillId="0" borderId="0"/>
    <xf numFmtId="39" fontId="19" fillId="0" borderId="0"/>
    <xf numFmtId="0" fontId="20" fillId="23" borderId="0">
      <alignment horizontal="center" vertical="center" wrapText="1"/>
    </xf>
    <xf numFmtId="174" fontId="4" fillId="0" borderId="0">
      <alignment horizontal="right"/>
      <protection locked="0"/>
    </xf>
    <xf numFmtId="0" fontId="21" fillId="0" borderId="0"/>
    <xf numFmtId="175" fontId="4" fillId="0" borderId="0"/>
    <xf numFmtId="176" fontId="21" fillId="0" borderId="5"/>
    <xf numFmtId="177" fontId="19" fillId="0" borderId="0"/>
    <xf numFmtId="178" fontId="6" fillId="0" borderId="0">
      <alignment horizontal="right"/>
    </xf>
    <xf numFmtId="179" fontId="2" fillId="2" borderId="6">
      <alignment horizontal="right"/>
    </xf>
    <xf numFmtId="180" fontId="2" fillId="2" borderId="6">
      <alignment horizontal="right"/>
    </xf>
    <xf numFmtId="179" fontId="2" fillId="2" borderId="6">
      <alignment horizontal="right"/>
    </xf>
    <xf numFmtId="15" fontId="5" fillId="0" borderId="0"/>
    <xf numFmtId="181" fontId="22" fillId="24" borderId="7"/>
    <xf numFmtId="182" fontId="5" fillId="0" borderId="0"/>
    <xf numFmtId="183" fontId="21" fillId="0" borderId="0"/>
    <xf numFmtId="181" fontId="21" fillId="24" borderId="0"/>
    <xf numFmtId="184" fontId="5" fillId="0" borderId="4"/>
    <xf numFmtId="185" fontId="23" fillId="0" borderId="0">
      <alignment horizontal="center"/>
    </xf>
    <xf numFmtId="186" fontId="23" fillId="0" borderId="0">
      <alignment horizontal="center"/>
    </xf>
    <xf numFmtId="187" fontId="6" fillId="0" borderId="0"/>
    <xf numFmtId="188" fontId="10" fillId="0" borderId="0"/>
    <xf numFmtId="189" fontId="10" fillId="0" borderId="0">
      <alignment horizontal="right"/>
    </xf>
    <xf numFmtId="189" fontId="10" fillId="0" borderId="0"/>
    <xf numFmtId="39" fontId="2" fillId="25" borderId="0"/>
    <xf numFmtId="175" fontId="2" fillId="25" borderId="0"/>
    <xf numFmtId="190" fontId="2" fillId="25" borderId="0"/>
    <xf numFmtId="191" fontId="2" fillId="0" borderId="0"/>
    <xf numFmtId="192" fontId="2" fillId="25" borderId="0"/>
    <xf numFmtId="193" fontId="11" fillId="0" borderId="0">
      <alignment horizontal="left"/>
      <protection locked="0"/>
    </xf>
    <xf numFmtId="194" fontId="2" fillId="0" borderId="0"/>
    <xf numFmtId="195" fontId="11" fillId="0" borderId="0">
      <alignment horizontal="left"/>
      <protection locked="0"/>
    </xf>
    <xf numFmtId="196" fontId="4" fillId="0" borderId="0"/>
    <xf numFmtId="0" fontId="24" fillId="0" borderId="0"/>
    <xf numFmtId="169" fontId="2" fillId="0" borderId="8"/>
    <xf numFmtId="197" fontId="2" fillId="2" borderId="6">
      <alignment horizontal="right"/>
    </xf>
    <xf numFmtId="198" fontId="2" fillId="2" borderId="6">
      <alignment horizontal="right"/>
    </xf>
    <xf numFmtId="197" fontId="2" fillId="2" borderId="6">
      <alignment horizontal="right"/>
    </xf>
    <xf numFmtId="199" fontId="10" fillId="0" borderId="0">
      <protection locked="0"/>
    </xf>
    <xf numFmtId="0" fontId="25" fillId="5" borderId="0"/>
    <xf numFmtId="200" fontId="26" fillId="0" borderId="0"/>
    <xf numFmtId="169" fontId="27" fillId="0" borderId="0">
      <alignment horizontal="left"/>
      <protection locked="0"/>
    </xf>
    <xf numFmtId="199" fontId="6" fillId="26" borderId="9"/>
    <xf numFmtId="0" fontId="28" fillId="0" borderId="10"/>
    <xf numFmtId="0" fontId="29" fillId="0" borderId="11"/>
    <xf numFmtId="0" fontId="30" fillId="0" borderId="12"/>
    <xf numFmtId="0" fontId="30" fillId="0" borderId="0"/>
    <xf numFmtId="199" fontId="31" fillId="0" borderId="0"/>
    <xf numFmtId="0" fontId="32" fillId="0" borderId="0"/>
    <xf numFmtId="172" fontId="10" fillId="0" borderId="0"/>
    <xf numFmtId="38" fontId="10" fillId="0" borderId="0">
      <alignment horizontal="right"/>
      <protection locked="0"/>
    </xf>
    <xf numFmtId="0" fontId="33" fillId="8" borderId="1"/>
    <xf numFmtId="0" fontId="21" fillId="24" borderId="0">
      <protection locked="0"/>
    </xf>
    <xf numFmtId="0" fontId="4" fillId="0" borderId="0">
      <alignment horizontal="right"/>
      <protection locked="0"/>
    </xf>
    <xf numFmtId="17" fontId="34" fillId="27" borderId="0"/>
    <xf numFmtId="0" fontId="35" fillId="0" borderId="0"/>
    <xf numFmtId="201" fontId="4" fillId="0" borderId="0">
      <alignment horizontal="right"/>
      <protection locked="0"/>
    </xf>
    <xf numFmtId="0" fontId="36" fillId="28" borderId="9">
      <alignment horizontal="left" vertical="center" wrapText="1"/>
    </xf>
    <xf numFmtId="0" fontId="37" fillId="0" borderId="13"/>
    <xf numFmtId="202" fontId="10" fillId="0" borderId="0">
      <alignment horizontal="right"/>
    </xf>
    <xf numFmtId="203" fontId="2" fillId="0" borderId="0">
      <alignment horizontal="right"/>
    </xf>
    <xf numFmtId="204" fontId="2" fillId="25" borderId="0">
      <alignment horizontal="right"/>
    </xf>
    <xf numFmtId="185" fontId="5" fillId="0" borderId="4"/>
    <xf numFmtId="205" fontId="2" fillId="0" borderId="0">
      <alignment horizontal="right"/>
    </xf>
    <xf numFmtId="203" fontId="2" fillId="0" borderId="0">
      <alignment horizontal="right"/>
    </xf>
    <xf numFmtId="169" fontId="38" fillId="0" borderId="0">
      <alignment horizontal="right"/>
    </xf>
    <xf numFmtId="169" fontId="38" fillId="0" borderId="0"/>
    <xf numFmtId="206" fontId="2" fillId="2" borderId="6">
      <alignment horizontal="right"/>
    </xf>
    <xf numFmtId="207" fontId="10" fillId="0" borderId="0"/>
    <xf numFmtId="0" fontId="7" fillId="29" borderId="14"/>
    <xf numFmtId="0" fontId="19" fillId="2" borderId="0">
      <alignment horizontal="right"/>
      <protection hidden="1"/>
    </xf>
    <xf numFmtId="0" fontId="39" fillId="26" borderId="0"/>
    <xf numFmtId="0" fontId="40" fillId="17" borderId="0"/>
    <xf numFmtId="0" fontId="41" fillId="30" borderId="0"/>
    <xf numFmtId="0" fontId="42" fillId="0" borderId="0"/>
    <xf numFmtId="0" fontId="4" fillId="0" borderId="0"/>
    <xf numFmtId="37" fontId="4" fillId="0" borderId="0"/>
    <xf numFmtId="208" fontId="4" fillId="0" borderId="0"/>
    <xf numFmtId="39" fontId="4" fillId="0" borderId="0"/>
    <xf numFmtId="209" fontId="4" fillId="0" borderId="0"/>
    <xf numFmtId="0" fontId="5" fillId="0" borderId="0"/>
    <xf numFmtId="0" fontId="21" fillId="0" borderId="0"/>
    <xf numFmtId="210" fontId="21" fillId="0" borderId="0">
      <alignment horizontal="right"/>
    </xf>
    <xf numFmtId="211" fontId="21" fillId="0" borderId="0"/>
    <xf numFmtId="0" fontId="7" fillId="24" borderId="15"/>
    <xf numFmtId="0" fontId="19" fillId="0" borderId="0"/>
    <xf numFmtId="212" fontId="4" fillId="0" borderId="0"/>
    <xf numFmtId="0" fontId="19" fillId="0" borderId="0"/>
    <xf numFmtId="0" fontId="43" fillId="2" borderId="16"/>
    <xf numFmtId="213" fontId="10" fillId="0" borderId="0">
      <alignment horizontal="right"/>
    </xf>
    <xf numFmtId="0" fontId="44" fillId="0" borderId="0"/>
    <xf numFmtId="0" fontId="21" fillId="0" borderId="0"/>
    <xf numFmtId="214" fontId="2" fillId="25" borderId="0"/>
    <xf numFmtId="9" fontId="10" fillId="0" borderId="0">
      <alignment horizontal="right"/>
    </xf>
    <xf numFmtId="215" fontId="2" fillId="0" borderId="0"/>
    <xf numFmtId="0" fontId="4" fillId="0" borderId="0"/>
    <xf numFmtId="165" fontId="4" fillId="0" borderId="0"/>
    <xf numFmtId="216" fontId="4" fillId="0" borderId="0"/>
    <xf numFmtId="217" fontId="4" fillId="0" borderId="0">
      <alignment horizontal="right"/>
      <protection locked="0"/>
    </xf>
    <xf numFmtId="200" fontId="10" fillId="0" borderId="0"/>
    <xf numFmtId="188" fontId="10" fillId="0" borderId="0"/>
    <xf numFmtId="172" fontId="10" fillId="0" borderId="0">
      <protection locked="0"/>
    </xf>
    <xf numFmtId="199" fontId="10" fillId="0" borderId="0"/>
    <xf numFmtId="38" fontId="10" fillId="0" borderId="0"/>
    <xf numFmtId="167" fontId="2" fillId="2" borderId="17">
      <alignment horizontal="right"/>
    </xf>
    <xf numFmtId="218" fontId="45" fillId="2" borderId="0"/>
    <xf numFmtId="219" fontId="2" fillId="2" borderId="0"/>
    <xf numFmtId="0" fontId="46" fillId="0" borderId="0">
      <alignment horizontal="center"/>
    </xf>
    <xf numFmtId="0" fontId="2" fillId="0" borderId="4">
      <alignment horizontal="center"/>
    </xf>
    <xf numFmtId="220" fontId="2" fillId="2" borderId="0">
      <alignment horizontal="right"/>
    </xf>
    <xf numFmtId="221" fontId="2" fillId="2" borderId="6">
      <alignment horizontal="right"/>
    </xf>
    <xf numFmtId="222" fontId="4" fillId="0" borderId="0">
      <alignment horizontal="right"/>
      <protection locked="0"/>
    </xf>
    <xf numFmtId="199" fontId="47" fillId="0" borderId="0">
      <alignment horizontal="left"/>
    </xf>
    <xf numFmtId="199" fontId="23" fillId="0" borderId="0"/>
    <xf numFmtId="0" fontId="48" fillId="0" borderId="0">
      <alignment horizontal="right" vertical="center"/>
    </xf>
    <xf numFmtId="0" fontId="49" fillId="31" borderId="0"/>
    <xf numFmtId="0" fontId="50" fillId="23" borderId="9">
      <alignment horizontal="center" vertical="center" wrapText="1"/>
      <protection hidden="1"/>
    </xf>
    <xf numFmtId="172" fontId="10" fillId="0" borderId="0">
      <protection locked="0"/>
    </xf>
    <xf numFmtId="223" fontId="23" fillId="0" borderId="0">
      <alignment horizontal="right"/>
    </xf>
    <xf numFmtId="38" fontId="4" fillId="0" borderId="0"/>
    <xf numFmtId="0" fontId="51" fillId="0" borderId="18">
      <alignment horizontal="left" vertical="top" wrapText="1"/>
    </xf>
    <xf numFmtId="0" fontId="32" fillId="0" borderId="0">
      <alignment horizontal="left" vertical="top" wrapText="1"/>
    </xf>
    <xf numFmtId="0" fontId="52" fillId="0" borderId="0">
      <alignment horizontal="left" vertical="top" wrapText="1"/>
    </xf>
    <xf numFmtId="0" fontId="53" fillId="0" borderId="0"/>
    <xf numFmtId="0" fontId="18" fillId="32" borderId="0"/>
    <xf numFmtId="0" fontId="54" fillId="0" borderId="0">
      <alignment vertical="top"/>
    </xf>
    <xf numFmtId="224" fontId="22" fillId="0" borderId="0">
      <alignment horizontal="right" wrapText="1"/>
    </xf>
    <xf numFmtId="225" fontId="22" fillId="0" borderId="0">
      <alignment horizontal="right"/>
    </xf>
    <xf numFmtId="4" fontId="21" fillId="0" borderId="0">
      <alignment horizontal="right"/>
    </xf>
    <xf numFmtId="192" fontId="55" fillId="0" borderId="0"/>
    <xf numFmtId="226" fontId="56" fillId="0" borderId="0">
      <alignment horizontal="left"/>
      <protection locked="0"/>
    </xf>
    <xf numFmtId="226" fontId="56" fillId="0" borderId="0"/>
    <xf numFmtId="226" fontId="57" fillId="0" borderId="0">
      <alignment horizontal="left"/>
      <protection locked="0"/>
    </xf>
    <xf numFmtId="226" fontId="57" fillId="0" borderId="0">
      <protection locked="0"/>
    </xf>
    <xf numFmtId="199" fontId="10" fillId="0" borderId="0">
      <protection locked="0"/>
    </xf>
    <xf numFmtId="0" fontId="54" fillId="0" borderId="0"/>
    <xf numFmtId="199" fontId="55" fillId="0" borderId="0"/>
    <xf numFmtId="0" fontId="54" fillId="0" borderId="0"/>
    <xf numFmtId="49" fontId="58" fillId="0" borderId="0"/>
    <xf numFmtId="0" fontId="59" fillId="0" borderId="0"/>
    <xf numFmtId="0" fontId="60" fillId="0" borderId="0"/>
    <xf numFmtId="0" fontId="54" fillId="0" borderId="0"/>
    <xf numFmtId="227" fontId="21" fillId="0" borderId="0">
      <alignment horizontal="right"/>
    </xf>
    <xf numFmtId="228" fontId="4" fillId="0" borderId="0"/>
    <xf numFmtId="229" fontId="4" fillId="0" borderId="0"/>
    <xf numFmtId="0" fontId="61" fillId="0" borderId="0"/>
    <xf numFmtId="0" fontId="62" fillId="33" borderId="0">
      <alignment horizontal="left" vertical="center"/>
    </xf>
    <xf numFmtId="199" fontId="63" fillId="0" borderId="0"/>
    <xf numFmtId="0" fontId="64" fillId="0" borderId="0"/>
    <xf numFmtId="0" fontId="4" fillId="0" borderId="0"/>
    <xf numFmtId="38" fontId="65" fillId="0" borderId="0">
      <alignment horizontal="left"/>
    </xf>
    <xf numFmtId="0" fontId="66" fillId="0" borderId="0"/>
    <xf numFmtId="0" fontId="67" fillId="0" borderId="19"/>
    <xf numFmtId="0" fontId="68" fillId="0" borderId="0"/>
    <xf numFmtId="1" fontId="10" fillId="0" borderId="0"/>
    <xf numFmtId="230" fontId="4" fillId="0" borderId="0"/>
    <xf numFmtId="231" fontId="21" fillId="0" borderId="0"/>
  </cellStyleXfs>
  <cellXfs count="111">
    <xf numFmtId="0" fontId="0" fillId="0" borderId="0" xfId="0"/>
    <xf numFmtId="0" fontId="69" fillId="0" borderId="20" xfId="0" applyFont="1" applyBorder="1"/>
    <xf numFmtId="0" fontId="0" fillId="0" borderId="20" xfId="0" applyBorder="1"/>
    <xf numFmtId="185" fontId="70" fillId="0" borderId="0" xfId="0" applyNumberFormat="1" applyFont="1" applyAlignment="1">
      <alignment horizontal="left"/>
    </xf>
    <xf numFmtId="0" fontId="0" fillId="0" borderId="21" xfId="0" applyBorder="1"/>
    <xf numFmtId="0" fontId="7" fillId="0" borderId="0" xfId="0" applyFont="1"/>
    <xf numFmtId="0" fontId="71" fillId="0" borderId="0" xfId="0" applyFont="1" applyAlignment="1">
      <alignment horizontal="center"/>
    </xf>
    <xf numFmtId="232" fontId="71" fillId="34" borderId="22" xfId="0" applyNumberFormat="1" applyFont="1" applyFill="1" applyBorder="1" applyAlignment="1">
      <alignment horizontal="center"/>
    </xf>
    <xf numFmtId="188" fontId="71" fillId="0" borderId="0" xfId="0" applyNumberFormat="1" applyFont="1" applyAlignment="1">
      <alignment horizontal="center"/>
    </xf>
    <xf numFmtId="185" fontId="71" fillId="0" borderId="0" xfId="0" applyNumberFormat="1" applyFont="1" applyAlignment="1">
      <alignment horizontal="center"/>
    </xf>
    <xf numFmtId="233" fontId="71" fillId="0" borderId="0" xfId="0" applyNumberFormat="1" applyFont="1" applyAlignment="1">
      <alignment horizontal="center"/>
    </xf>
    <xf numFmtId="173" fontId="71" fillId="35" borderId="0" xfId="1" applyFont="1" applyFill="1" applyAlignment="1">
      <alignment horizontal="center"/>
    </xf>
    <xf numFmtId="0" fontId="71" fillId="0" borderId="0" xfId="0" applyFont="1"/>
    <xf numFmtId="0" fontId="69" fillId="0" borderId="4" xfId="0" applyFont="1" applyBorder="1"/>
    <xf numFmtId="0" fontId="0" fillId="0" borderId="4" xfId="0" applyBorder="1"/>
    <xf numFmtId="234" fontId="69" fillId="0" borderId="0" xfId="0" applyNumberFormat="1" applyFont="1"/>
    <xf numFmtId="0" fontId="72" fillId="0" borderId="4" xfId="0" applyFont="1" applyBorder="1"/>
    <xf numFmtId="233" fontId="72" fillId="0" borderId="4" xfId="0" applyNumberFormat="1" applyFont="1" applyBorder="1"/>
    <xf numFmtId="188" fontId="7" fillId="0" borderId="0" xfId="0" applyNumberFormat="1" applyFont="1"/>
    <xf numFmtId="235" fontId="7" fillId="0" borderId="0" xfId="0" applyNumberFormat="1" applyFont="1"/>
    <xf numFmtId="0" fontId="72" fillId="0" borderId="0" xfId="0" applyFont="1"/>
    <xf numFmtId="233" fontId="73" fillId="0" borderId="0" xfId="0" applyNumberFormat="1" applyFont="1"/>
    <xf numFmtId="233" fontId="72" fillId="0" borderId="0" xfId="0" applyNumberFormat="1" applyFont="1"/>
    <xf numFmtId="37" fontId="71" fillId="35" borderId="0" xfId="0" applyNumberFormat="1" applyFont="1" applyFill="1"/>
    <xf numFmtId="0" fontId="69" fillId="0" borderId="0" xfId="0" applyFont="1"/>
    <xf numFmtId="37" fontId="67" fillId="35" borderId="0" xfId="0" applyNumberFormat="1" applyFont="1" applyFill="1"/>
    <xf numFmtId="0" fontId="0" fillId="0" borderId="0" xfId="0" applyAlignment="1">
      <alignment horizontal="left" indent="1"/>
    </xf>
    <xf numFmtId="0" fontId="0" fillId="0" borderId="0" xfId="0" applyAlignment="1">
      <alignment horizontal="left"/>
    </xf>
    <xf numFmtId="0" fontId="69" fillId="0" borderId="0" xfId="0" applyFont="1" applyAlignment="1">
      <alignment horizontal="left"/>
    </xf>
    <xf numFmtId="0" fontId="74" fillId="0" borderId="0" xfId="0" applyFont="1"/>
    <xf numFmtId="0" fontId="7" fillId="29" borderId="0" xfId="0" applyFont="1" applyFill="1"/>
    <xf numFmtId="236" fontId="7" fillId="35" borderId="0" xfId="0" applyNumberFormat="1" applyFont="1" applyFill="1"/>
    <xf numFmtId="237" fontId="71" fillId="0" borderId="0" xfId="0" applyNumberFormat="1" applyFont="1"/>
    <xf numFmtId="185" fontId="72" fillId="0" borderId="0" xfId="0" applyNumberFormat="1" applyFont="1"/>
    <xf numFmtId="234" fontId="67" fillId="0" borderId="0" xfId="0" applyNumberFormat="1" applyFont="1"/>
    <xf numFmtId="233" fontId="70" fillId="0" borderId="4" xfId="0" applyNumberFormat="1" applyFont="1" applyBorder="1"/>
    <xf numFmtId="37" fontId="71" fillId="0" borderId="0" xfId="0" applyNumberFormat="1" applyFont="1"/>
    <xf numFmtId="3" fontId="0" fillId="0" borderId="0" xfId="0" applyNumberFormat="1"/>
    <xf numFmtId="37" fontId="67" fillId="0" borderId="0" xfId="0" applyNumberFormat="1" applyFont="1"/>
    <xf numFmtId="37" fontId="0" fillId="0" borderId="0" xfId="0" applyNumberFormat="1"/>
    <xf numFmtId="0" fontId="67" fillId="0" borderId="0" xfId="0" applyFont="1"/>
    <xf numFmtId="37" fontId="7" fillId="0" borderId="0" xfId="0" applyNumberFormat="1" applyFont="1"/>
    <xf numFmtId="37" fontId="69" fillId="0" borderId="0" xfId="0" applyNumberFormat="1" applyFont="1"/>
    <xf numFmtId="37" fontId="72" fillId="0" borderId="0" xfId="0" applyNumberFormat="1" applyFont="1"/>
    <xf numFmtId="37" fontId="71" fillId="35" borderId="23" xfId="0" applyNumberFormat="1" applyFont="1" applyFill="1" applyBorder="1"/>
    <xf numFmtId="10" fontId="71" fillId="35" borderId="0" xfId="0" applyNumberFormat="1" applyFont="1" applyFill="1"/>
    <xf numFmtId="10" fontId="71" fillId="0" borderId="0" xfId="0" applyNumberFormat="1" applyFont="1"/>
    <xf numFmtId="37" fontId="7" fillId="0" borderId="0" xfId="0" applyNumberFormat="1" applyFont="1" applyAlignment="1">
      <alignment horizontal="left" indent="1"/>
    </xf>
    <xf numFmtId="236" fontId="0" fillId="0" borderId="0" xfId="0" applyNumberFormat="1"/>
    <xf numFmtId="188" fontId="71" fillId="28" borderId="0" xfId="0" applyNumberFormat="1" applyFont="1" applyFill="1" applyAlignment="1">
      <alignment horizontal="center"/>
    </xf>
    <xf numFmtId="9" fontId="0" fillId="0" borderId="0" xfId="0" applyNumberFormat="1"/>
    <xf numFmtId="209" fontId="71" fillId="0" borderId="0" xfId="0" applyNumberFormat="1" applyFont="1" applyAlignment="1">
      <alignment horizontal="center"/>
    </xf>
    <xf numFmtId="238" fontId="69" fillId="0" borderId="0" xfId="0" applyNumberFormat="1" applyFont="1"/>
    <xf numFmtId="9" fontId="72" fillId="0" borderId="0" xfId="0" applyNumberFormat="1" applyFont="1"/>
    <xf numFmtId="202" fontId="72" fillId="0" borderId="0" xfId="0" applyNumberFormat="1" applyFont="1"/>
    <xf numFmtId="37" fontId="7" fillId="35" borderId="0" xfId="0" applyNumberFormat="1" applyFont="1" applyFill="1"/>
    <xf numFmtId="37" fontId="71" fillId="28" borderId="0" xfId="0" applyNumberFormat="1" applyFont="1" applyFill="1"/>
    <xf numFmtId="37" fontId="0" fillId="36" borderId="0" xfId="0" applyNumberFormat="1" applyFill="1"/>
    <xf numFmtId="37" fontId="0" fillId="35" borderId="0" xfId="0" applyNumberFormat="1" applyFill="1"/>
    <xf numFmtId="4" fontId="0" fillId="0" borderId="0" xfId="0" applyNumberFormat="1"/>
    <xf numFmtId="237" fontId="7" fillId="0" borderId="0" xfId="0" applyNumberFormat="1" applyFont="1"/>
    <xf numFmtId="237" fontId="71" fillId="28" borderId="0" xfId="0" applyNumberFormat="1" applyFont="1" applyFill="1"/>
    <xf numFmtId="238" fontId="67" fillId="0" borderId="0" xfId="0" applyNumberFormat="1" applyFont="1"/>
    <xf numFmtId="37" fontId="69" fillId="35" borderId="0" xfId="0" applyNumberFormat="1" applyFont="1" applyFill="1"/>
    <xf numFmtId="0" fontId="0" fillId="0" borderId="23" xfId="0" applyBorder="1" applyAlignment="1">
      <alignment horizontal="left" indent="1"/>
    </xf>
    <xf numFmtId="37" fontId="71" fillId="0" borderId="23" xfId="0" applyNumberFormat="1" applyFont="1" applyBorder="1"/>
    <xf numFmtId="37" fontId="0" fillId="35" borderId="23" xfId="0" applyNumberFormat="1" applyFill="1" applyBorder="1"/>
    <xf numFmtId="0" fontId="69" fillId="0" borderId="0" xfId="0" applyFont="1" applyAlignment="1">
      <alignment horizontal="left" indent="1"/>
    </xf>
    <xf numFmtId="237" fontId="0" fillId="0" borderId="0" xfId="0" applyNumberFormat="1"/>
    <xf numFmtId="237" fontId="7" fillId="35" borderId="0" xfId="0" applyNumberFormat="1" applyFont="1" applyFill="1"/>
    <xf numFmtId="236" fontId="71" fillId="35" borderId="0" xfId="0" applyNumberFormat="1" applyFont="1" applyFill="1"/>
    <xf numFmtId="232" fontId="0" fillId="0" borderId="0" xfId="0" applyNumberFormat="1"/>
    <xf numFmtId="0" fontId="69" fillId="0" borderId="4" xfId="0" applyFont="1" applyBorder="1" applyAlignment="1">
      <alignment horizontal="left"/>
    </xf>
    <xf numFmtId="237" fontId="0" fillId="0" borderId="4" xfId="0" applyNumberFormat="1" applyBorder="1"/>
    <xf numFmtId="237" fontId="7" fillId="0" borderId="4" xfId="0" applyNumberFormat="1" applyFont="1" applyBorder="1"/>
    <xf numFmtId="37" fontId="69" fillId="0" borderId="4" xfId="0" applyNumberFormat="1" applyFont="1" applyBorder="1"/>
    <xf numFmtId="37" fontId="7" fillId="35" borderId="24" xfId="0" applyNumberFormat="1" applyFont="1" applyFill="1" applyBorder="1"/>
    <xf numFmtId="0" fontId="0" fillId="0" borderId="23" xfId="0" applyBorder="1"/>
    <xf numFmtId="37" fontId="7" fillId="35" borderId="23" xfId="0" applyNumberFormat="1" applyFont="1" applyFill="1" applyBorder="1"/>
    <xf numFmtId="37" fontId="69" fillId="0" borderId="4" xfId="0" applyNumberFormat="1" applyFont="1" applyBorder="1" applyAlignment="1">
      <alignment horizontal="left"/>
    </xf>
    <xf numFmtId="37" fontId="0" fillId="36" borderId="23" xfId="0" applyNumberFormat="1" applyFill="1" applyBorder="1"/>
    <xf numFmtId="37" fontId="69" fillId="36" borderId="0" xfId="0" applyNumberFormat="1" applyFont="1" applyFill="1"/>
    <xf numFmtId="37" fontId="0" fillId="0" borderId="23" xfId="0" applyNumberFormat="1" applyBorder="1"/>
    <xf numFmtId="37" fontId="69" fillId="0" borderId="23" xfId="0" applyNumberFormat="1" applyFont="1" applyBorder="1"/>
    <xf numFmtId="0" fontId="75" fillId="0" borderId="25" xfId="0" applyFont="1" applyBorder="1" applyAlignment="1">
      <alignment horizontal="left" indent="2"/>
    </xf>
    <xf numFmtId="37" fontId="0" fillId="0" borderId="26" xfId="0" applyNumberFormat="1" applyBorder="1"/>
    <xf numFmtId="0" fontId="0" fillId="0" borderId="26" xfId="0" applyBorder="1"/>
    <xf numFmtId="37" fontId="76" fillId="0" borderId="26" xfId="0" applyNumberFormat="1" applyFont="1" applyBorder="1" applyAlignment="1">
      <alignment horizontal="right"/>
    </xf>
    <xf numFmtId="37" fontId="76" fillId="0" borderId="27" xfId="0" applyNumberFormat="1" applyFont="1" applyBorder="1" applyAlignment="1">
      <alignment horizontal="right"/>
    </xf>
    <xf numFmtId="0" fontId="75" fillId="0" borderId="0" xfId="0" applyFont="1" applyAlignment="1">
      <alignment horizontal="center"/>
    </xf>
    <xf numFmtId="37" fontId="76" fillId="0" borderId="0" xfId="0" applyNumberFormat="1" applyFont="1" applyAlignment="1">
      <alignment horizontal="right"/>
    </xf>
    <xf numFmtId="9" fontId="71" fillId="0" borderId="4" xfId="0" applyNumberFormat="1" applyFont="1" applyBorder="1"/>
    <xf numFmtId="3" fontId="77" fillId="0" borderId="0" xfId="0" applyNumberFormat="1" applyFont="1"/>
    <xf numFmtId="37" fontId="0" fillId="0" borderId="24" xfId="0" applyNumberFormat="1" applyBorder="1"/>
    <xf numFmtId="0" fontId="74" fillId="0" borderId="0" xfId="0" applyFont="1" applyAlignment="1">
      <alignment horizontal="left" indent="1"/>
    </xf>
    <xf numFmtId="0" fontId="78" fillId="0" borderId="0" xfId="0" applyFont="1" applyAlignment="1">
      <alignment horizontal="left"/>
    </xf>
    <xf numFmtId="239" fontId="71" fillId="0" borderId="0" xfId="0" applyNumberFormat="1" applyFont="1"/>
    <xf numFmtId="240" fontId="79" fillId="36" borderId="0" xfId="0" applyNumberFormat="1" applyFont="1" applyFill="1"/>
    <xf numFmtId="0" fontId="67" fillId="0" borderId="28" xfId="0" applyFont="1" applyBorder="1" applyAlignment="1">
      <alignment horizontal="left" indent="1"/>
    </xf>
    <xf numFmtId="37" fontId="67" fillId="36" borderId="28" xfId="0" applyNumberFormat="1" applyFont="1" applyFill="1" applyBorder="1"/>
    <xf numFmtId="0" fontId="0" fillId="0" borderId="0" xfId="0" applyAlignment="1">
      <alignment horizontal="left" indent="2"/>
    </xf>
    <xf numFmtId="236" fontId="71" fillId="28" borderId="0" xfId="0" applyNumberFormat="1" applyFont="1" applyFill="1"/>
    <xf numFmtId="236" fontId="79" fillId="36" borderId="0" xfId="0" applyNumberFormat="1" applyFont="1" applyFill="1"/>
    <xf numFmtId="37" fontId="67" fillId="36" borderId="0" xfId="0" applyNumberFormat="1" applyFont="1" applyFill="1"/>
    <xf numFmtId="10" fontId="71" fillId="28" borderId="0" xfId="0" applyNumberFormat="1" applyFont="1" applyFill="1"/>
    <xf numFmtId="239" fontId="71" fillId="28" borderId="0" xfId="0" applyNumberFormat="1" applyFont="1" applyFill="1"/>
    <xf numFmtId="240" fontId="7" fillId="36" borderId="0" xfId="0" applyNumberFormat="1" applyFont="1" applyFill="1"/>
    <xf numFmtId="37" fontId="7" fillId="36" borderId="0" xfId="0" applyNumberFormat="1" applyFont="1" applyFill="1"/>
    <xf numFmtId="0" fontId="69" fillId="0" borderId="24" xfId="0" applyFont="1" applyBorder="1" applyAlignment="1">
      <alignment horizontal="center"/>
    </xf>
    <xf numFmtId="0" fontId="69" fillId="0" borderId="0" xfId="0" applyFont="1" applyBorder="1"/>
    <xf numFmtId="0" fontId="0" fillId="0" borderId="0" xfId="0" applyBorder="1"/>
  </cellXfs>
  <cellStyles count="210">
    <cellStyle name="******************************************" xfId="9" xr:uid="{00000000-0005-0000-0000-00000D000000}"/>
    <cellStyle name="%" xfId="8" xr:uid="{00000000-0005-0000-0000-00000C000000}"/>
    <cellStyle name="$" xfId="2" xr:uid="{00000000-0005-0000-0000-000006000000}"/>
    <cellStyle name="$m" xfId="3" xr:uid="{00000000-0005-0000-0000-000007000000}"/>
    <cellStyle name="$q" xfId="4" xr:uid="{00000000-0005-0000-0000-000008000000}"/>
    <cellStyle name="$q*" xfId="5" xr:uid="{00000000-0005-0000-0000-000009000000}"/>
    <cellStyle name="$qA" xfId="6" xr:uid="{00000000-0005-0000-0000-00000A000000}"/>
    <cellStyle name="$qRange" xfId="7" xr:uid="{00000000-0005-0000-0000-00000B000000}"/>
    <cellStyle name="10Q" xfId="10" xr:uid="{00000000-0005-0000-0000-00000E000000}"/>
    <cellStyle name="2 Decimal Places_MA Software Comps - List_AccretionDilution OTGS v16.xls Chart 1" xfId="11" xr:uid="{00000000-0005-0000-0000-00000F000000}"/>
    <cellStyle name="20% - Accent1 2" xfId="12" xr:uid="{00000000-0005-0000-0000-000010000000}"/>
    <cellStyle name="20% - Accent2 2" xfId="13" xr:uid="{00000000-0005-0000-0000-000011000000}"/>
    <cellStyle name="20% - Accent3 2" xfId="14" xr:uid="{00000000-0005-0000-0000-000012000000}"/>
    <cellStyle name="20% - Accent4 2" xfId="15" xr:uid="{00000000-0005-0000-0000-000013000000}"/>
    <cellStyle name="20% - Accent5 2" xfId="16" xr:uid="{00000000-0005-0000-0000-000014000000}"/>
    <cellStyle name="20% - Accent6 2" xfId="17" xr:uid="{00000000-0005-0000-0000-000015000000}"/>
    <cellStyle name="40% - Accent1 2" xfId="18" xr:uid="{00000000-0005-0000-0000-000016000000}"/>
    <cellStyle name="40% - Accent2 2" xfId="19" xr:uid="{00000000-0005-0000-0000-000017000000}"/>
    <cellStyle name="40% - Accent3 2" xfId="20" xr:uid="{00000000-0005-0000-0000-000018000000}"/>
    <cellStyle name="40% - Accent4 2" xfId="21" xr:uid="{00000000-0005-0000-0000-000019000000}"/>
    <cellStyle name="40% - Accent5 2" xfId="22" xr:uid="{00000000-0005-0000-0000-00001A000000}"/>
    <cellStyle name="40% - Accent6 2" xfId="23" xr:uid="{00000000-0005-0000-0000-00001B000000}"/>
    <cellStyle name="60% - Accent1 2" xfId="24" xr:uid="{00000000-0005-0000-0000-00001C000000}"/>
    <cellStyle name="60% - Accent2 2" xfId="25" xr:uid="{00000000-0005-0000-0000-00001D000000}"/>
    <cellStyle name="60% - Accent3 2" xfId="26" xr:uid="{00000000-0005-0000-0000-00001E000000}"/>
    <cellStyle name="60% - Accent4 2" xfId="27" xr:uid="{00000000-0005-0000-0000-00001F000000}"/>
    <cellStyle name="60% - Accent5 2" xfId="28" xr:uid="{00000000-0005-0000-0000-000020000000}"/>
    <cellStyle name="60% - Accent6 2" xfId="29" xr:uid="{00000000-0005-0000-0000-000021000000}"/>
    <cellStyle name="Accent1 2" xfId="30" xr:uid="{00000000-0005-0000-0000-000022000000}"/>
    <cellStyle name="Accent2 2" xfId="31" xr:uid="{00000000-0005-0000-0000-000023000000}"/>
    <cellStyle name="Accent3 2" xfId="32" xr:uid="{00000000-0005-0000-0000-000024000000}"/>
    <cellStyle name="Accent4 2" xfId="33" xr:uid="{00000000-0005-0000-0000-000025000000}"/>
    <cellStyle name="Accent5 2" xfId="34" xr:uid="{00000000-0005-0000-0000-000026000000}"/>
    <cellStyle name="Accent6 2" xfId="35" xr:uid="{00000000-0005-0000-0000-000027000000}"/>
    <cellStyle name="AFE" xfId="36" xr:uid="{00000000-0005-0000-0000-000028000000}"/>
    <cellStyle name="Bad 2" xfId="37" xr:uid="{00000000-0005-0000-0000-000029000000}"/>
    <cellStyle name="Balance" xfId="38" xr:uid="{00000000-0005-0000-0000-00002A000000}"/>
    <cellStyle name="BalanceSheet" xfId="39" xr:uid="{00000000-0005-0000-0000-00002B000000}"/>
    <cellStyle name="Body_$Numeric" xfId="40" xr:uid="{00000000-0005-0000-0000-00002C000000}"/>
    <cellStyle name="Bold Header" xfId="41" xr:uid="{00000000-0005-0000-0000-00002D000000}"/>
    <cellStyle name="Calculation 2" xfId="42" xr:uid="{00000000-0005-0000-0000-00002E000000}"/>
    <cellStyle name="CashFlow" xfId="43" xr:uid="{00000000-0005-0000-0000-00002F000000}"/>
    <cellStyle name="ChartingText" xfId="44" xr:uid="{00000000-0005-0000-0000-000030000000}"/>
    <cellStyle name="Check" xfId="45" xr:uid="{00000000-0005-0000-0000-000031000000}"/>
    <cellStyle name="Check Cell 2" xfId="46" xr:uid="{00000000-0005-0000-0000-000032000000}"/>
    <cellStyle name="CHPTop" xfId="47" xr:uid="{00000000-0005-0000-0000-000033000000}"/>
    <cellStyle name="ColHeading" xfId="48" xr:uid="{00000000-0005-0000-0000-000034000000}"/>
    <cellStyle name="colheadleft" xfId="49" xr:uid="{00000000-0005-0000-0000-000035000000}"/>
    <cellStyle name="colheadright" xfId="50" xr:uid="{00000000-0005-0000-0000-000036000000}"/>
    <cellStyle name="ColumnHeaderNormal" xfId="51" xr:uid="{00000000-0005-0000-0000-000037000000}"/>
    <cellStyle name="Comma" xfId="1" builtinId="3"/>
    <cellStyle name="Comma 2" xfId="52" xr:uid="{00000000-0005-0000-0000-000038000000}"/>
    <cellStyle name="Comma0" xfId="53" xr:uid="{00000000-0005-0000-0000-000039000000}"/>
    <cellStyle name="Comma2" xfId="54" xr:uid="{00000000-0005-0000-0000-00003A000000}"/>
    <cellStyle name="Company" xfId="55" xr:uid="{00000000-0005-0000-0000-00003B000000}"/>
    <cellStyle name="CurRatio" xfId="56" xr:uid="{00000000-0005-0000-0000-00003C000000}"/>
    <cellStyle name="Currency [1]" xfId="57" xr:uid="{00000000-0005-0000-0000-00003D000000}"/>
    <cellStyle name="Currency [2]" xfId="58" xr:uid="{00000000-0005-0000-0000-00003E000000}"/>
    <cellStyle name="Currency--" xfId="59" xr:uid="{00000000-0005-0000-0000-00003F000000}"/>
    <cellStyle name="Currency0" xfId="60" xr:uid="{00000000-0005-0000-0000-000040000000}"/>
    <cellStyle name="Currency2" xfId="61" xr:uid="{00000000-0005-0000-0000-000041000000}"/>
    <cellStyle name="d_yield" xfId="62" xr:uid="{00000000-0005-0000-0000-000042000000}"/>
    <cellStyle name="d_yield_CW's MAKER MODEL" xfId="63" xr:uid="{00000000-0005-0000-0000-000043000000}"/>
    <cellStyle name="d_yield_valuation" xfId="64" xr:uid="{00000000-0005-0000-0000-000044000000}"/>
    <cellStyle name="Date [d-mmm-yy]" xfId="65" xr:uid="{00000000-0005-0000-0000-000045000000}"/>
    <cellStyle name="Date [mm-d-yyyy]" xfId="66" xr:uid="{00000000-0005-0000-0000-000046000000}"/>
    <cellStyle name="Date [mm-dd-yy]" xfId="67" xr:uid="{00000000-0005-0000-0000-000047000000}"/>
    <cellStyle name="Date [mm-dd-yyyy]" xfId="68" xr:uid="{00000000-0005-0000-0000-000048000000}"/>
    <cellStyle name="Date [mmm-d-yyyy]" xfId="69" xr:uid="{00000000-0005-0000-0000-000049000000}"/>
    <cellStyle name="Date [mmm-yyyy]" xfId="70" xr:uid="{00000000-0005-0000-0000-00004A000000}"/>
    <cellStyle name="Dates" xfId="71" xr:uid="{00000000-0005-0000-0000-00004B000000}"/>
    <cellStyle name="DateYear" xfId="72" xr:uid="{00000000-0005-0000-0000-00004C000000}"/>
    <cellStyle name="Dezimal_Capital expenditure planning FY 2000" xfId="73" xr:uid="{00000000-0005-0000-0000-00004D000000}"/>
    <cellStyle name="Dollar" xfId="74" xr:uid="{00000000-0005-0000-0000-00004E000000}"/>
    <cellStyle name="Dollars" xfId="75" xr:uid="{00000000-0005-0000-0000-00004F000000}"/>
    <cellStyle name="DollarWhole" xfId="76" xr:uid="{00000000-0005-0000-0000-000050000000}"/>
    <cellStyle name="eps" xfId="77" xr:uid="{00000000-0005-0000-0000-000051000000}"/>
    <cellStyle name="eps$" xfId="78" xr:uid="{00000000-0005-0000-0000-000052000000}"/>
    <cellStyle name="eps$A" xfId="79" xr:uid="{00000000-0005-0000-0000-000053000000}"/>
    <cellStyle name="eps$E" xfId="80" xr:uid="{00000000-0005-0000-0000-000054000000}"/>
    <cellStyle name="epsA" xfId="81" xr:uid="{00000000-0005-0000-0000-000055000000}"/>
    <cellStyle name="EPSActual" xfId="82" xr:uid="{00000000-0005-0000-0000-000056000000}"/>
    <cellStyle name="epsE" xfId="83" xr:uid="{00000000-0005-0000-0000-000057000000}"/>
    <cellStyle name="EPSEstimate" xfId="84" xr:uid="{00000000-0005-0000-0000-000058000000}"/>
    <cellStyle name="Euro" xfId="85" xr:uid="{00000000-0005-0000-0000-000059000000}"/>
    <cellStyle name="Explanatory Text 2" xfId="86" xr:uid="{00000000-0005-0000-0000-00005A000000}"/>
    <cellStyle name="fy_eps$" xfId="87" xr:uid="{00000000-0005-0000-0000-00005B000000}"/>
    <cellStyle name="g_rate" xfId="88" xr:uid="{00000000-0005-0000-0000-00005C000000}"/>
    <cellStyle name="g_rate_CW's MAKER MODEL" xfId="89" xr:uid="{00000000-0005-0000-0000-00005D000000}"/>
    <cellStyle name="g_rate_valuation" xfId="90" xr:uid="{00000000-0005-0000-0000-00005E000000}"/>
    <cellStyle name="General" xfId="91" xr:uid="{00000000-0005-0000-0000-00005F000000}"/>
    <cellStyle name="Good 2" xfId="92" xr:uid="{00000000-0005-0000-0000-000060000000}"/>
    <cellStyle name="GrowthRate" xfId="93" xr:uid="{00000000-0005-0000-0000-000061000000}"/>
    <cellStyle name="GrowthSeq" xfId="94" xr:uid="{00000000-0005-0000-0000-000062000000}"/>
    <cellStyle name="Hard Number Input" xfId="95" xr:uid="{00000000-0005-0000-0000-000063000000}"/>
    <cellStyle name="Heading 1 2" xfId="96" xr:uid="{00000000-0005-0000-0000-000064000000}"/>
    <cellStyle name="Heading 2 2" xfId="97" xr:uid="{00000000-0005-0000-0000-000065000000}"/>
    <cellStyle name="Heading 3 2" xfId="98" xr:uid="{00000000-0005-0000-0000-000066000000}"/>
    <cellStyle name="Heading 4 2" xfId="99" xr:uid="{00000000-0005-0000-0000-000067000000}"/>
    <cellStyle name="Historical Number" xfId="100" xr:uid="{00000000-0005-0000-0000-000068000000}"/>
    <cellStyle name="iemens" xfId="101" xr:uid="{00000000-0005-0000-0000-000069000000}"/>
    <cellStyle name="Income" xfId="102" xr:uid="{00000000-0005-0000-0000-00006A000000}"/>
    <cellStyle name="IncomeStatement" xfId="103" xr:uid="{00000000-0005-0000-0000-00006B000000}"/>
    <cellStyle name="Input 2" xfId="104" xr:uid="{00000000-0005-0000-0000-00006C000000}"/>
    <cellStyle name="Input Fixed [0]" xfId="105" xr:uid="{00000000-0005-0000-0000-00006D000000}"/>
    <cellStyle name="Integer" xfId="106" xr:uid="{00000000-0005-0000-0000-00006E000000}"/>
    <cellStyle name="Inverse Header" xfId="107" xr:uid="{00000000-0005-0000-0000-00006F000000}"/>
    <cellStyle name="Invisible" xfId="108" xr:uid="{00000000-0005-0000-0000-000070000000}"/>
    <cellStyle name="Item" xfId="109" xr:uid="{00000000-0005-0000-0000-000071000000}"/>
    <cellStyle name="ItemTypeClass" xfId="110" xr:uid="{00000000-0005-0000-0000-000072000000}"/>
    <cellStyle name="Linked Cell 2" xfId="111" xr:uid="{00000000-0005-0000-0000-000073000000}"/>
    <cellStyle name="LTGR" xfId="112" xr:uid="{00000000-0005-0000-0000-000074000000}"/>
    <cellStyle name="m" xfId="113" xr:uid="{00000000-0005-0000-0000-000075000000}"/>
    <cellStyle name="m_CW's MAKER MODEL" xfId="116" xr:uid="{00000000-0005-0000-0000-000078000000}"/>
    <cellStyle name="m_valuation" xfId="117" xr:uid="{00000000-0005-0000-0000-000079000000}"/>
    <cellStyle name="m/d/yy" xfId="115" xr:uid="{00000000-0005-0000-0000-000077000000}"/>
    <cellStyle name="m$" xfId="114" xr:uid="{00000000-0005-0000-0000-000076000000}"/>
    <cellStyle name="Margin" xfId="118" xr:uid="{00000000-0005-0000-0000-00007A000000}"/>
    <cellStyle name="Margins" xfId="119" xr:uid="{00000000-0005-0000-0000-00007B000000}"/>
    <cellStyle name="mm" xfId="120" xr:uid="{00000000-0005-0000-0000-00007C000000}"/>
    <cellStyle name="Multiple" xfId="121" xr:uid="{00000000-0005-0000-0000-00007D000000}"/>
    <cellStyle name="MyStyle" xfId="122" xr:uid="{00000000-0005-0000-0000-00007E000000}"/>
    <cellStyle name="NA is zero" xfId="123" xr:uid="{00000000-0005-0000-0000-00007F000000}"/>
    <cellStyle name="Neutral 2" xfId="124" xr:uid="{00000000-0005-0000-0000-000080000000}"/>
    <cellStyle name="NewColumnHeaderNormal" xfId="125" xr:uid="{00000000-0005-0000-0000-000081000000}"/>
    <cellStyle name="NewSectionHeaderNormal" xfId="126" xr:uid="{00000000-0005-0000-0000-000082000000}"/>
    <cellStyle name="NewTitleNormal" xfId="127" xr:uid="{00000000-0005-0000-0000-000083000000}"/>
    <cellStyle name="Normal" xfId="0" builtinId="0"/>
    <cellStyle name="Normal [0]" xfId="129" xr:uid="{00000000-0005-0000-0000-000085000000}"/>
    <cellStyle name="Normal [1]" xfId="130" xr:uid="{00000000-0005-0000-0000-000086000000}"/>
    <cellStyle name="Normal [2]" xfId="131" xr:uid="{00000000-0005-0000-0000-000087000000}"/>
    <cellStyle name="Normal [3]" xfId="132" xr:uid="{00000000-0005-0000-0000-000088000000}"/>
    <cellStyle name="Normal 2" xfId="128" xr:uid="{00000000-0005-0000-0000-000084000000}"/>
    <cellStyle name="Normal Bold" xfId="133" xr:uid="{00000000-0005-0000-0000-000089000000}"/>
    <cellStyle name="Normal Pct" xfId="134" xr:uid="{00000000-0005-0000-0000-00008A000000}"/>
    <cellStyle name="Normal--" xfId="135" xr:uid="{00000000-0005-0000-0000-00008B000000}"/>
    <cellStyle name="NormalX" xfId="136" xr:uid="{00000000-0005-0000-0000-00008C000000}"/>
    <cellStyle name="Note 2" xfId="137" xr:uid="{00000000-0005-0000-0000-00008D000000}"/>
    <cellStyle name="NPPESalesPct" xfId="138" xr:uid="{00000000-0005-0000-0000-00008E000000}"/>
    <cellStyle name="Number" xfId="139" xr:uid="{00000000-0005-0000-0000-00008F000000}"/>
    <cellStyle name="NWI%S" xfId="140" xr:uid="{00000000-0005-0000-0000-000090000000}"/>
    <cellStyle name="Output 2" xfId="141" xr:uid="{00000000-0005-0000-0000-000091000000}"/>
    <cellStyle name="P/E" xfId="142" xr:uid="{00000000-0005-0000-0000-000092000000}"/>
    <cellStyle name="Palatino" xfId="143" xr:uid="{00000000-0005-0000-0000-000093000000}"/>
    <cellStyle name="pc1" xfId="144" xr:uid="{00000000-0005-0000-0000-000094000000}"/>
    <cellStyle name="pe" xfId="145" xr:uid="{00000000-0005-0000-0000-000095000000}"/>
    <cellStyle name="PE/LTGR" xfId="146" xr:uid="{00000000-0005-0000-0000-000096000000}"/>
    <cellStyle name="PEG" xfId="147" xr:uid="{00000000-0005-0000-0000-000097000000}"/>
    <cellStyle name="Percent [0]" xfId="148" xr:uid="{00000000-0005-0000-0000-000098000000}"/>
    <cellStyle name="Percent [1]" xfId="149" xr:uid="{00000000-0005-0000-0000-000099000000}"/>
    <cellStyle name="Percent [2]" xfId="150" xr:uid="{00000000-0005-0000-0000-00009A000000}"/>
    <cellStyle name="PercentChange" xfId="151" xr:uid="{00000000-0005-0000-0000-00009B000000}"/>
    <cellStyle name="PercentPresentation" xfId="152" xr:uid="{00000000-0005-0000-0000-00009C000000}"/>
    <cellStyle name="PerShare" xfId="153" xr:uid="{00000000-0005-0000-0000-00009D000000}"/>
    <cellStyle name="POPS" xfId="154" xr:uid="{00000000-0005-0000-0000-00009E000000}"/>
    <cellStyle name="Presentation" xfId="155" xr:uid="{00000000-0005-0000-0000-00009F000000}"/>
    <cellStyle name="PresentationZero" xfId="156" xr:uid="{00000000-0005-0000-0000-0000A0000000}"/>
    <cellStyle name="price" xfId="157" xr:uid="{00000000-0005-0000-0000-0000A1000000}"/>
    <cellStyle name="q" xfId="158" xr:uid="{00000000-0005-0000-0000-0000A2000000}"/>
    <cellStyle name="q_CW's MAKER MODEL" xfId="159" xr:uid="{00000000-0005-0000-0000-0000A3000000}"/>
    <cellStyle name="QEPS-h" xfId="160" xr:uid="{00000000-0005-0000-0000-0000A4000000}"/>
    <cellStyle name="QEPS-H1" xfId="161" xr:uid="{00000000-0005-0000-0000-0000A5000000}"/>
    <cellStyle name="qRange" xfId="162" xr:uid="{00000000-0005-0000-0000-0000A6000000}"/>
    <cellStyle name="range" xfId="163" xr:uid="{00000000-0005-0000-0000-0000A7000000}"/>
    <cellStyle name="RatioX" xfId="164" xr:uid="{00000000-0005-0000-0000-0000A8000000}"/>
    <cellStyle name="Red font" xfId="165" xr:uid="{00000000-0005-0000-0000-0000A9000000}"/>
    <cellStyle name="Report" xfId="166" xr:uid="{00000000-0005-0000-0000-0000AA000000}"/>
    <cellStyle name="Right" xfId="167" xr:uid="{00000000-0005-0000-0000-0000AB000000}"/>
    <cellStyle name="SectionHeaderNormal" xfId="168" xr:uid="{00000000-0005-0000-0000-0000AC000000}"/>
    <cellStyle name="SectionHeading" xfId="169" xr:uid="{00000000-0005-0000-0000-0000AD000000}"/>
    <cellStyle name="Shares" xfId="170" xr:uid="{00000000-0005-0000-0000-0000AE000000}"/>
    <cellStyle name="StockPrice" xfId="171" xr:uid="{00000000-0005-0000-0000-0000AF000000}"/>
    <cellStyle name="Style 1" xfId="172" xr:uid="{00000000-0005-0000-0000-0000B0000000}"/>
    <cellStyle name="Style 21" xfId="173" xr:uid="{00000000-0005-0000-0000-0000B1000000}"/>
    <cellStyle name="Style 22" xfId="174" xr:uid="{00000000-0005-0000-0000-0000B2000000}"/>
    <cellStyle name="Style 23" xfId="175" xr:uid="{00000000-0005-0000-0000-0000B3000000}"/>
    <cellStyle name="Style 24" xfId="176" xr:uid="{00000000-0005-0000-0000-0000B4000000}"/>
    <cellStyle name="Style 26" xfId="177" xr:uid="{00000000-0005-0000-0000-0000B5000000}"/>
    <cellStyle name="Style 27" xfId="178" xr:uid="{00000000-0005-0000-0000-0000B6000000}"/>
    <cellStyle name="Style 34" xfId="179" xr:uid="{00000000-0005-0000-0000-0000B7000000}"/>
    <cellStyle name="Style 37" xfId="180" xr:uid="{00000000-0005-0000-0000-0000B8000000}"/>
    <cellStyle name="Style 63" xfId="181" xr:uid="{00000000-0005-0000-0000-0000B9000000}"/>
    <cellStyle name="SubDollar" xfId="182" xr:uid="{00000000-0005-0000-0000-0000BA000000}"/>
    <cellStyle name="SubGrowth" xfId="183" xr:uid="{00000000-0005-0000-0000-0000BB000000}"/>
    <cellStyle name="SubGrowthRate" xfId="184" xr:uid="{00000000-0005-0000-0000-0000BC000000}"/>
    <cellStyle name="SubMargins" xfId="185" xr:uid="{00000000-0005-0000-0000-0000BD000000}"/>
    <cellStyle name="SubPenetration" xfId="186" xr:uid="{00000000-0005-0000-0000-0000BE000000}"/>
    <cellStyle name="Subscribers" xfId="187" xr:uid="{00000000-0005-0000-0000-0000BF000000}"/>
    <cellStyle name="SubScript" xfId="188" xr:uid="{00000000-0005-0000-0000-0000C0000000}"/>
    <cellStyle name="SubVariable" xfId="189" xr:uid="{00000000-0005-0000-0000-0000C1000000}"/>
    <cellStyle name="SuperScript" xfId="190" xr:uid="{00000000-0005-0000-0000-0000C2000000}"/>
    <cellStyle name="tcn" xfId="191" xr:uid="{00000000-0005-0000-0000-0000C3000000}"/>
    <cellStyle name="TextBold" xfId="192" xr:uid="{00000000-0005-0000-0000-0000C4000000}"/>
    <cellStyle name="TextItalic" xfId="193" xr:uid="{00000000-0005-0000-0000-0000C5000000}"/>
    <cellStyle name="TextNormal" xfId="194" xr:uid="{00000000-0005-0000-0000-0000C6000000}"/>
    <cellStyle name="Times" xfId="195" xr:uid="{00000000-0005-0000-0000-0000C7000000}"/>
    <cellStyle name="Times [1]" xfId="196" xr:uid="{00000000-0005-0000-0000-0000C8000000}"/>
    <cellStyle name="Times [2]" xfId="197" xr:uid="{00000000-0005-0000-0000-0000C9000000}"/>
    <cellStyle name="Title 2" xfId="198" xr:uid="{00000000-0005-0000-0000-0000CA000000}"/>
    <cellStyle name="title2" xfId="199" xr:uid="{00000000-0005-0000-0000-0000CB000000}"/>
    <cellStyle name="TitleII" xfId="200" xr:uid="{00000000-0005-0000-0000-0000CC000000}"/>
    <cellStyle name="TitleNormal" xfId="201" xr:uid="{00000000-0005-0000-0000-0000CD000000}"/>
    <cellStyle name="Titles" xfId="202" xr:uid="{00000000-0005-0000-0000-0000CE000000}"/>
    <cellStyle name="TitleSub" xfId="203" xr:uid="{00000000-0005-0000-0000-0000CF000000}"/>
    <cellStyle name="tn" xfId="204" xr:uid="{00000000-0005-0000-0000-0000D0000000}"/>
    <cellStyle name="Total 2" xfId="205" xr:uid="{00000000-0005-0000-0000-0000D1000000}"/>
    <cellStyle name="Warning Text 2" xfId="206" xr:uid="{00000000-0005-0000-0000-0000D2000000}"/>
    <cellStyle name="WholeNumber" xfId="207" xr:uid="{00000000-0005-0000-0000-0000D3000000}"/>
    <cellStyle name="Year&quot;E&quot;" xfId="208" xr:uid="{00000000-0005-0000-0000-0000D4000000}"/>
    <cellStyle name="Years" xfId="209" xr:uid="{00000000-0005-0000-0000-0000D5000000}"/>
  </cellStyles>
  <dxfs count="2">
    <dxf>
      <fill>
        <patternFill>
          <bgColor theme="8"/>
        </patternFill>
      </fill>
      <border diagonalUp="0" diagonalDown="0">
        <left/>
        <right/>
        <top style="thin">
          <color rgb="FF9C0006"/>
        </top>
        <bottom style="thin">
          <color rgb="FF9C0006"/>
        </bottom>
      </border>
    </dxf>
    <dxf>
      <fill>
        <patternFill>
          <bgColor theme="8"/>
        </patternFill>
      </fill>
      <border diagonalUp="0" diagonalDown="0">
        <left/>
        <right/>
        <top style="thin">
          <color rgb="FF9C0006"/>
        </top>
        <bottom style="thin">
          <color rgb="FF9C0006"/>
        </bottom>
      </border>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E0E0E0"/>
      <rgbColor rgb="FF800080"/>
      <rgbColor rgb="FF008080"/>
      <rgbColor rgb="FFC0C0C0"/>
      <rgbColor rgb="FF808080"/>
      <rgbColor rgb="FFC0C0FF"/>
      <rgbColor rgb="FF993366"/>
      <rgbColor rgb="FFFFFFCC"/>
      <rgbColor rgb="FFCCFFFF"/>
      <rgbColor rgb="FF660066"/>
      <rgbColor rgb="FFFF8080"/>
      <rgbColor rgb="FF0066CC"/>
      <rgbColor rgb="FFCCCCFF"/>
      <rgbColor rgb="FF000080"/>
      <rgbColor rgb="FFFF00FF"/>
      <rgbColor rgb="FFFCE5CD"/>
      <rgbColor rgb="FFEEECE1"/>
      <rgbColor rgb="FF800080"/>
      <rgbColor rgb="FF800000"/>
      <rgbColor rgb="FF008080"/>
      <rgbColor rgb="FF0000FF"/>
      <rgbColor rgb="FF4BACC6"/>
      <rgbColor rgb="FFD2F2FF"/>
      <rgbColor rgb="FFCCFFCC"/>
      <rgbColor rgb="FFFFFF99"/>
      <rgbColor rgb="FF99CCFF"/>
      <rgbColor rgb="FFFF99CC"/>
      <rgbColor rgb="FFCC99FF"/>
      <rgbColor rgb="FFFFCC99"/>
      <rgbColor rgb="FF3366FF"/>
      <rgbColor rgb="FF33CCCC"/>
      <rgbColor rgb="FFF4CCCC"/>
      <rgbColor rgb="FFFFCC00"/>
      <rgbColor rgb="FFFF9900"/>
      <rgbColor rgb="FFFF6600"/>
      <rgbColor rgb="FFC9DAF8"/>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O75"/>
  <sheetViews>
    <sheetView tabSelected="1" zoomScaleNormal="100" workbookViewId="0">
      <selection activeCell="H10" sqref="H10"/>
    </sheetView>
  </sheetViews>
  <sheetFormatPr baseColWidth="10" defaultColWidth="8.83203125" defaultRowHeight="15"/>
  <cols>
    <col min="1" max="2" width="1.6640625" customWidth="1"/>
    <col min="3" max="3" width="48" customWidth="1"/>
    <col min="4" max="4" width="12" customWidth="1"/>
    <col min="5" max="6" width="11.5" customWidth="1"/>
    <col min="7" max="7" width="2.33203125" customWidth="1"/>
    <col min="8" max="8" width="11.5" customWidth="1"/>
    <col min="9" max="9" width="26.1640625" customWidth="1"/>
    <col min="10" max="10" width="10.33203125" customWidth="1"/>
    <col min="11" max="11" width="19.5" customWidth="1"/>
    <col min="12" max="12" width="11.5" customWidth="1"/>
    <col min="13" max="14" width="9.5" customWidth="1"/>
  </cols>
  <sheetData>
    <row r="1" spans="3:12" ht="15.75" customHeight="1"/>
    <row r="2" spans="3:12" ht="15.75" customHeight="1">
      <c r="C2" s="1" t="str">
        <f>"Financial Statement Model for "&amp;D5</f>
        <v>Financial Statement Model for Apple</v>
      </c>
      <c r="D2" s="2"/>
      <c r="E2" s="2"/>
      <c r="F2" s="2"/>
    </row>
    <row r="3" spans="3:12" ht="15" customHeight="1">
      <c r="C3" s="3" t="s">
        <v>0</v>
      </c>
      <c r="D3" s="4"/>
      <c r="E3" s="4"/>
      <c r="F3" s="4"/>
    </row>
    <row r="5" spans="3:12" ht="15" customHeight="1">
      <c r="C5" s="5" t="s">
        <v>1</v>
      </c>
      <c r="D5" s="6" t="s">
        <v>2</v>
      </c>
    </row>
    <row r="6" spans="3:12" ht="15" customHeight="1">
      <c r="C6" s="5" t="s">
        <v>3</v>
      </c>
      <c r="D6" s="6" t="s">
        <v>4</v>
      </c>
    </row>
    <row r="7" spans="3:12" ht="15" customHeight="1">
      <c r="C7" t="s">
        <v>5</v>
      </c>
      <c r="D7" s="7">
        <v>1</v>
      </c>
    </row>
    <row r="8" spans="3:12" ht="15" customHeight="1">
      <c r="C8" t="s">
        <v>6</v>
      </c>
      <c r="D8" s="8">
        <v>299.24</v>
      </c>
    </row>
    <row r="9" spans="3:12" ht="15" customHeight="1">
      <c r="C9" t="s">
        <v>7</v>
      </c>
      <c r="D9" s="9">
        <v>43500</v>
      </c>
    </row>
    <row r="10" spans="3:12" ht="15" customHeight="1">
      <c r="C10" s="5" t="s">
        <v>8</v>
      </c>
      <c r="D10" s="10">
        <v>45947</v>
      </c>
    </row>
    <row r="11" spans="3:12" ht="15" customHeight="1">
      <c r="C11" t="s">
        <v>9</v>
      </c>
      <c r="D11" s="11">
        <v>14776.352999999999</v>
      </c>
    </row>
    <row r="12" spans="3:12" ht="15" customHeight="1">
      <c r="K12" s="12"/>
      <c r="L12" s="5"/>
    </row>
    <row r="13" spans="3:12" ht="15" customHeight="1">
      <c r="C13" s="13" t="s">
        <v>10</v>
      </c>
      <c r="D13" s="14"/>
      <c r="E13" s="14"/>
      <c r="F13" s="14"/>
      <c r="K13" s="12"/>
      <c r="L13" s="5"/>
    </row>
    <row r="14" spans="3:12" ht="15" customHeight="1">
      <c r="C14" t="s">
        <v>11</v>
      </c>
      <c r="D14" s="15">
        <f>E14-1</f>
        <v>2023</v>
      </c>
      <c r="E14" s="15">
        <f>F14-1</f>
        <v>2024</v>
      </c>
      <c r="F14" s="15">
        <f>YEAR(D10)</f>
        <v>2025</v>
      </c>
      <c r="K14" s="5"/>
      <c r="L14" s="5"/>
    </row>
    <row r="15" spans="3:12" ht="15" customHeight="1">
      <c r="C15" s="16" t="s">
        <v>12</v>
      </c>
      <c r="D15" s="17">
        <f>EOMONTH(E15,-12)</f>
        <v>45230</v>
      </c>
      <c r="E15" s="17">
        <f>EOMONTH(F15,-12)</f>
        <v>45596</v>
      </c>
      <c r="F15" s="17">
        <f>D10</f>
        <v>45947</v>
      </c>
      <c r="K15" s="18"/>
      <c r="L15" s="19"/>
    </row>
    <row r="16" spans="3:12" ht="15" customHeight="1">
      <c r="C16" s="20"/>
      <c r="D16" s="21"/>
      <c r="E16" s="22"/>
      <c r="F16" s="22"/>
    </row>
    <row r="17" spans="3:8" ht="15" customHeight="1">
      <c r="C17" t="s">
        <v>13</v>
      </c>
      <c r="D17" s="23">
        <v>383285</v>
      </c>
      <c r="E17" s="23">
        <v>391035</v>
      </c>
      <c r="F17" s="23">
        <v>416161</v>
      </c>
    </row>
    <row r="18" spans="3:8" ht="15" customHeight="1">
      <c r="C18" t="s">
        <v>14</v>
      </c>
      <c r="D18" s="23">
        <v>-214137</v>
      </c>
      <c r="E18" s="23">
        <v>-210352</v>
      </c>
      <c r="F18" s="23">
        <v>-220960</v>
      </c>
    </row>
    <row r="19" spans="3:8" ht="15" customHeight="1">
      <c r="C19" s="24" t="s">
        <v>15</v>
      </c>
      <c r="D19" s="25">
        <f>SUM(D17:D18)</f>
        <v>169148</v>
      </c>
      <c r="E19" s="25">
        <f>SUM(E17:E18)</f>
        <v>180683</v>
      </c>
      <c r="F19" s="25">
        <f>SUM(F17:F18)</f>
        <v>195201</v>
      </c>
    </row>
    <row r="20" spans="3:8" ht="15" customHeight="1">
      <c r="C20" t="s">
        <v>16</v>
      </c>
      <c r="D20" s="23">
        <v>-29915</v>
      </c>
      <c r="E20" s="23">
        <v>-31370</v>
      </c>
      <c r="F20" s="23">
        <v>-34550</v>
      </c>
    </row>
    <row r="21" spans="3:8" ht="15" customHeight="1">
      <c r="C21" t="s">
        <v>17</v>
      </c>
      <c r="D21" s="23">
        <v>-24932</v>
      </c>
      <c r="E21" s="23">
        <v>-26097</v>
      </c>
      <c r="F21" s="23">
        <v>-27601</v>
      </c>
    </row>
    <row r="22" spans="3:8" ht="15" customHeight="1">
      <c r="C22" s="24" t="s">
        <v>18</v>
      </c>
      <c r="D22" s="25">
        <f>SUM(D19:D21)</f>
        <v>114301</v>
      </c>
      <c r="E22" s="25">
        <f>SUM(E19:E21)</f>
        <v>123216</v>
      </c>
      <c r="F22" s="25">
        <f>SUM(F19:F21)</f>
        <v>133050</v>
      </c>
    </row>
    <row r="23" spans="3:8" ht="15" customHeight="1">
      <c r="C23" t="s">
        <v>19</v>
      </c>
      <c r="D23" s="23">
        <v>0</v>
      </c>
      <c r="E23" s="23">
        <v>0</v>
      </c>
      <c r="F23" s="23">
        <v>0</v>
      </c>
    </row>
    <row r="24" spans="3:8" ht="15" customHeight="1">
      <c r="C24" t="s">
        <v>20</v>
      </c>
      <c r="D24" s="23">
        <v>0</v>
      </c>
      <c r="E24" s="23">
        <v>0</v>
      </c>
      <c r="F24" s="23">
        <v>0</v>
      </c>
    </row>
    <row r="25" spans="3:8" ht="15" customHeight="1">
      <c r="C25" t="s">
        <v>21</v>
      </c>
      <c r="D25" s="23">
        <v>-565</v>
      </c>
      <c r="E25" s="23">
        <v>269</v>
      </c>
      <c r="F25" s="23">
        <v>-321</v>
      </c>
    </row>
    <row r="26" spans="3:8" ht="15" customHeight="1">
      <c r="C26" s="24" t="s">
        <v>22</v>
      </c>
      <c r="D26" s="25">
        <f>SUM(D22:D25)</f>
        <v>113736</v>
      </c>
      <c r="E26" s="25">
        <f>SUM(E22:E25)</f>
        <v>123485</v>
      </c>
      <c r="F26" s="25">
        <f>SUM(F22:F25)</f>
        <v>132729</v>
      </c>
    </row>
    <row r="27" spans="3:8" ht="15" customHeight="1">
      <c r="C27" t="s">
        <v>23</v>
      </c>
      <c r="D27" s="23">
        <v>-16741</v>
      </c>
      <c r="E27" s="23">
        <v>-29749</v>
      </c>
      <c r="F27" s="23">
        <v>-20719</v>
      </c>
    </row>
    <row r="28" spans="3:8" ht="15" customHeight="1">
      <c r="C28" s="24" t="s">
        <v>24</v>
      </c>
      <c r="D28" s="25">
        <f>SUM(D26:D27)</f>
        <v>96995</v>
      </c>
      <c r="E28" s="25">
        <f>SUM(E26:E27)</f>
        <v>93736</v>
      </c>
      <c r="F28" s="25">
        <f>SUM(F26:F27)</f>
        <v>112010</v>
      </c>
      <c r="H28" s="24"/>
    </row>
    <row r="29" spans="3:8" ht="15" customHeight="1">
      <c r="C29" s="26"/>
    </row>
    <row r="30" spans="3:8" ht="15" customHeight="1">
      <c r="C30" s="27" t="s">
        <v>25</v>
      </c>
      <c r="D30" s="23">
        <v>11519</v>
      </c>
      <c r="E30" s="23">
        <v>11445</v>
      </c>
      <c r="F30" s="23">
        <v>11698</v>
      </c>
    </row>
    <row r="31" spans="3:8" ht="15" customHeight="1">
      <c r="C31" s="28" t="s">
        <v>26</v>
      </c>
      <c r="D31" s="25">
        <f>D30+D22</f>
        <v>125820</v>
      </c>
      <c r="E31" s="25">
        <f>E30+E22</f>
        <v>134661</v>
      </c>
      <c r="F31" s="25">
        <f>F30+F22</f>
        <v>144748</v>
      </c>
      <c r="H31" s="24"/>
    </row>
    <row r="32" spans="3:8" ht="15" customHeight="1">
      <c r="C32" s="27" t="s">
        <v>27</v>
      </c>
      <c r="D32" s="23">
        <v>10833</v>
      </c>
      <c r="E32" s="23">
        <v>11688</v>
      </c>
      <c r="F32" s="23">
        <v>12863</v>
      </c>
    </row>
    <row r="33" spans="3:15" ht="15" customHeight="1">
      <c r="C33" s="28" t="s">
        <v>28</v>
      </c>
      <c r="D33" s="25">
        <f>D31+D32</f>
        <v>136653</v>
      </c>
      <c r="E33" s="25">
        <f>E31+E32</f>
        <v>146349</v>
      </c>
      <c r="F33" s="25">
        <f>F31+F32</f>
        <v>157611</v>
      </c>
      <c r="H33" s="24"/>
    </row>
    <row r="34" spans="3:15" ht="15" customHeight="1">
      <c r="C34" s="26"/>
    </row>
    <row r="35" spans="3:15" ht="15" customHeight="1">
      <c r="C35" s="29" t="s">
        <v>29</v>
      </c>
    </row>
    <row r="36" spans="3:15" ht="15" customHeight="1">
      <c r="C36" s="26" t="s">
        <v>30</v>
      </c>
      <c r="D36" s="30"/>
      <c r="E36" s="31">
        <f>E17/D17-1</f>
        <v>2.021994077514111E-2</v>
      </c>
      <c r="F36" s="31">
        <f>F17/E17-1</f>
        <v>6.425511782832749E-2</v>
      </c>
      <c r="J36" s="32"/>
      <c r="K36" s="32"/>
      <c r="L36" s="32"/>
      <c r="M36" s="32"/>
      <c r="N36" s="32"/>
      <c r="O36" s="32"/>
    </row>
    <row r="37" spans="3:15" ht="15" customHeight="1">
      <c r="C37" s="26" t="s">
        <v>31</v>
      </c>
      <c r="D37" s="31">
        <f>D19/D17</f>
        <v>0.44131129577207562</v>
      </c>
      <c r="E37" s="31">
        <f>E19/E17</f>
        <v>0.46206349815233932</v>
      </c>
      <c r="F37" s="31">
        <f>F19/F17</f>
        <v>0.46905164107160452</v>
      </c>
      <c r="J37" s="32"/>
      <c r="K37" s="32"/>
      <c r="L37" s="32"/>
      <c r="M37" s="32"/>
      <c r="N37" s="32"/>
      <c r="O37" s="32"/>
    </row>
    <row r="38" spans="3:15" ht="15" customHeight="1">
      <c r="C38" s="26" t="s">
        <v>32</v>
      </c>
      <c r="D38" s="31">
        <f>-(D20/D17)</f>
        <v>7.8048971392045086E-2</v>
      </c>
      <c r="E38" s="31">
        <f>-(E20/E17)</f>
        <v>8.0222997941360744E-2</v>
      </c>
      <c r="F38" s="31">
        <f>-(F20/F17)</f>
        <v>8.3020753987038676E-2</v>
      </c>
      <c r="J38" s="32"/>
      <c r="K38" s="32"/>
      <c r="L38" s="32"/>
      <c r="M38" s="32"/>
      <c r="N38" s="32"/>
      <c r="O38" s="32"/>
    </row>
    <row r="39" spans="3:15" ht="15" customHeight="1">
      <c r="C39" s="26" t="s">
        <v>33</v>
      </c>
      <c r="D39" s="31">
        <f>-(D21/D17)</f>
        <v>6.5048201729783317E-2</v>
      </c>
      <c r="E39" s="31">
        <f>-(E21/E17)</f>
        <v>6.6738271510222866E-2</v>
      </c>
      <c r="F39" s="31">
        <f>-(F21/F17)</f>
        <v>6.6322889458647019E-2</v>
      </c>
      <c r="J39" s="32"/>
      <c r="K39" s="32"/>
      <c r="L39" s="32"/>
      <c r="M39" s="32"/>
      <c r="N39" s="32"/>
      <c r="O39" s="32"/>
    </row>
    <row r="40" spans="3:15" ht="15" customHeight="1">
      <c r="C40" s="26" t="s">
        <v>34</v>
      </c>
      <c r="D40" s="31">
        <f>-(D27/D26)</f>
        <v>0.14719174228036858</v>
      </c>
      <c r="E40" s="31">
        <f>-(E27/E26)</f>
        <v>0.24091185164189982</v>
      </c>
      <c r="F40" s="31">
        <f>-(F27/F26)</f>
        <v>0.15610002335586043</v>
      </c>
      <c r="J40" s="32"/>
      <c r="K40" s="32"/>
      <c r="L40" s="32"/>
      <c r="M40" s="32"/>
      <c r="N40" s="32"/>
      <c r="O40" s="32"/>
    </row>
    <row r="41" spans="3:15" ht="15" customHeight="1">
      <c r="C41" s="26"/>
    </row>
    <row r="42" spans="3:15" ht="15" customHeight="1">
      <c r="C42" s="13" t="s">
        <v>35</v>
      </c>
      <c r="D42" s="17"/>
      <c r="E42" s="17"/>
      <c r="F42" s="17"/>
    </row>
    <row r="43" spans="3:15" ht="15" customHeight="1">
      <c r="C43" s="33" t="str">
        <f>C14</f>
        <v xml:space="preserve">Fiscal year  </v>
      </c>
      <c r="D43" s="34"/>
      <c r="E43" s="34" t="s">
        <v>36</v>
      </c>
      <c r="F43" s="34" t="s">
        <v>37</v>
      </c>
    </row>
    <row r="44" spans="3:15" ht="15" customHeight="1">
      <c r="C44" s="14" t="str">
        <f>C15</f>
        <v>Fiscal year end date</v>
      </c>
      <c r="D44" s="35"/>
      <c r="E44" s="35">
        <f>E15</f>
        <v>45596</v>
      </c>
      <c r="F44" s="35">
        <f>F15</f>
        <v>45947</v>
      </c>
    </row>
    <row r="45" spans="3:15" ht="15" customHeight="1">
      <c r="C45" t="s">
        <v>38</v>
      </c>
      <c r="D45" s="36"/>
      <c r="E45" s="23">
        <f>29943+35228+91479</f>
        <v>156650</v>
      </c>
      <c r="F45" s="23">
        <f>35934+18763+77723</f>
        <v>132420</v>
      </c>
    </row>
    <row r="46" spans="3:15" ht="15" customHeight="1">
      <c r="C46" t="s">
        <v>39</v>
      </c>
      <c r="D46" s="36"/>
      <c r="E46" s="23">
        <v>33410</v>
      </c>
      <c r="F46" s="23">
        <v>39777</v>
      </c>
    </row>
    <row r="47" spans="3:15" ht="15" customHeight="1">
      <c r="C47" t="s">
        <v>40</v>
      </c>
      <c r="D47" s="36"/>
      <c r="E47" s="23">
        <v>7286</v>
      </c>
      <c r="F47" s="23">
        <v>5718</v>
      </c>
    </row>
    <row r="48" spans="3:15" ht="15" customHeight="1">
      <c r="C48" t="s">
        <v>41</v>
      </c>
      <c r="D48" s="36"/>
      <c r="E48" s="23">
        <f>32833+14287</f>
        <v>47120</v>
      </c>
      <c r="F48" s="23">
        <f>33180+14585</f>
        <v>47765</v>
      </c>
    </row>
    <row r="49" spans="3:10" ht="15" customHeight="1">
      <c r="C49" t="s">
        <v>42</v>
      </c>
      <c r="D49" s="36"/>
      <c r="E49" s="23">
        <v>45680</v>
      </c>
      <c r="F49" s="23">
        <v>49834</v>
      </c>
    </row>
    <row r="50" spans="3:10" ht="15" customHeight="1">
      <c r="C50" t="s">
        <v>43</v>
      </c>
      <c r="D50" s="36"/>
      <c r="E50" s="23">
        <v>74834</v>
      </c>
      <c r="F50" s="23">
        <v>83727</v>
      </c>
      <c r="H50" s="37"/>
    </row>
    <row r="51" spans="3:10" ht="15" customHeight="1">
      <c r="C51" s="28" t="s">
        <v>44</v>
      </c>
      <c r="D51" s="38"/>
      <c r="E51" s="25">
        <f>SUM(E45:E50)</f>
        <v>364980</v>
      </c>
      <c r="F51" s="25">
        <f>SUM(F45:F50)</f>
        <v>359241</v>
      </c>
      <c r="I51" s="37"/>
      <c r="J51" s="37"/>
    </row>
    <row r="52" spans="3:10" ht="15" customHeight="1">
      <c r="C52" s="27"/>
      <c r="D52" s="39"/>
      <c r="I52" s="37"/>
      <c r="J52" s="37"/>
    </row>
    <row r="53" spans="3:10" ht="15" customHeight="1">
      <c r="C53" s="27" t="s">
        <v>45</v>
      </c>
      <c r="D53" s="36"/>
      <c r="E53" s="23">
        <v>68960</v>
      </c>
      <c r="F53" s="23">
        <v>69860</v>
      </c>
      <c r="I53" s="37"/>
      <c r="J53" s="37"/>
    </row>
    <row r="54" spans="3:10" ht="15" customHeight="1">
      <c r="C54" s="27" t="s">
        <v>46</v>
      </c>
      <c r="D54" s="36"/>
      <c r="E54" s="23">
        <v>78304</v>
      </c>
      <c r="F54" s="23">
        <v>66387</v>
      </c>
      <c r="I54" s="37"/>
      <c r="J54" s="37"/>
    </row>
    <row r="55" spans="3:10" ht="15" customHeight="1">
      <c r="C55" s="27" t="s">
        <v>47</v>
      </c>
      <c r="D55" s="36"/>
      <c r="E55" s="23">
        <v>8249</v>
      </c>
      <c r="F55" s="23">
        <v>9055</v>
      </c>
      <c r="I55" s="37"/>
      <c r="J55" s="37"/>
    </row>
    <row r="56" spans="3:10" ht="15" customHeight="1">
      <c r="C56" s="27" t="s">
        <v>48</v>
      </c>
      <c r="D56" s="36"/>
      <c r="E56" s="23">
        <v>9967</v>
      </c>
      <c r="F56" s="23">
        <v>7979</v>
      </c>
      <c r="I56" s="37"/>
      <c r="J56" s="37"/>
    </row>
    <row r="57" spans="3:10" ht="15" customHeight="1">
      <c r="C57" s="27" t="s">
        <v>49</v>
      </c>
      <c r="D57" s="36"/>
      <c r="E57" s="23">
        <f>10912+85750</f>
        <v>96662</v>
      </c>
      <c r="F57" s="23">
        <f>12350+78328</f>
        <v>90678</v>
      </c>
    </row>
    <row r="58" spans="3:10" ht="15.75" customHeight="1">
      <c r="C58" s="27" t="s">
        <v>50</v>
      </c>
      <c r="D58" s="36"/>
      <c r="E58" s="23">
        <v>45888</v>
      </c>
      <c r="F58" s="23">
        <v>41549</v>
      </c>
      <c r="I58" s="37"/>
      <c r="J58" s="37"/>
    </row>
    <row r="59" spans="3:10" ht="15" customHeight="1">
      <c r="C59" s="28" t="s">
        <v>51</v>
      </c>
      <c r="D59" s="38"/>
      <c r="E59" s="25">
        <f>SUM(E53:E58)</f>
        <v>308030</v>
      </c>
      <c r="F59" s="25">
        <f>SUM(F53:F58)</f>
        <v>285508</v>
      </c>
      <c r="I59" s="37"/>
      <c r="J59" s="37"/>
    </row>
    <row r="60" spans="3:10" ht="15" customHeight="1">
      <c r="C60" s="28"/>
      <c r="D60" s="38"/>
      <c r="E60" s="40"/>
      <c r="F60" s="40"/>
      <c r="I60" s="37"/>
      <c r="J60" s="37"/>
    </row>
    <row r="61" spans="3:10" ht="15" customHeight="1">
      <c r="C61" s="27" t="s">
        <v>52</v>
      </c>
      <c r="D61" s="36"/>
      <c r="E61" s="23">
        <v>83276</v>
      </c>
      <c r="F61" s="23">
        <v>93568</v>
      </c>
      <c r="I61" s="37"/>
      <c r="J61" s="37"/>
    </row>
    <row r="62" spans="3:10" ht="15.75" customHeight="1">
      <c r="C62" s="27" t="s">
        <v>53</v>
      </c>
      <c r="D62" s="41"/>
      <c r="E62" s="23">
        <v>-19154</v>
      </c>
      <c r="F62" s="23">
        <v>-14264</v>
      </c>
      <c r="I62" s="37"/>
      <c r="J62" s="37"/>
    </row>
    <row r="63" spans="3:10" ht="15.75" customHeight="1">
      <c r="C63" s="27" t="s">
        <v>54</v>
      </c>
      <c r="D63" s="36"/>
      <c r="E63" s="23">
        <v>-7172</v>
      </c>
      <c r="F63" s="23">
        <v>-5571</v>
      </c>
    </row>
    <row r="64" spans="3:10" ht="15" customHeight="1">
      <c r="C64" s="28" t="s">
        <v>55</v>
      </c>
      <c r="D64" s="42"/>
      <c r="E64" s="25">
        <f>SUM(E61:E63)</f>
        <v>56950</v>
      </c>
      <c r="F64" s="25">
        <f>SUM(F61:F63)</f>
        <v>73733</v>
      </c>
    </row>
    <row r="65" spans="3:8" ht="15" customHeight="1">
      <c r="D65" s="39"/>
      <c r="E65" s="39"/>
      <c r="F65" s="39"/>
    </row>
    <row r="66" spans="3:8" ht="15" customHeight="1">
      <c r="C66" s="20" t="s">
        <v>56</v>
      </c>
      <c r="D66" s="43"/>
      <c r="E66" s="43">
        <f>ROUND(E51-E59-E64,3)</f>
        <v>0</v>
      </c>
      <c r="F66" s="43">
        <f>ROUND(F51-F59-F64,3)</f>
        <v>0</v>
      </c>
    </row>
    <row r="67" spans="3:8" ht="15" customHeight="1">
      <c r="E67" s="39"/>
      <c r="F67" s="39"/>
    </row>
    <row r="68" spans="3:8" ht="15" customHeight="1">
      <c r="C68" s="24" t="s">
        <v>57</v>
      </c>
      <c r="D68" s="37"/>
      <c r="E68" s="39"/>
      <c r="F68" s="39"/>
    </row>
    <row r="69" spans="3:8" ht="15" customHeight="1">
      <c r="C69" s="27" t="s">
        <v>58</v>
      </c>
      <c r="D69" s="23">
        <v>10959</v>
      </c>
      <c r="E69" s="23">
        <v>9447</v>
      </c>
      <c r="F69" s="23">
        <v>12715</v>
      </c>
    </row>
    <row r="70" spans="3:8" ht="15" customHeight="1">
      <c r="C70" s="27" t="s">
        <v>59</v>
      </c>
      <c r="D70" s="23">
        <v>-8500</v>
      </c>
      <c r="E70" s="23">
        <v>-8200</v>
      </c>
      <c r="F70" s="23">
        <v>-8000</v>
      </c>
      <c r="H70" t="s">
        <v>60</v>
      </c>
    </row>
    <row r="71" spans="3:8" ht="15" customHeight="1">
      <c r="C71" s="27" t="s">
        <v>61</v>
      </c>
      <c r="D71" s="23">
        <v>-14996</v>
      </c>
      <c r="E71" s="23">
        <v>-15218</v>
      </c>
      <c r="F71" s="23">
        <v>-15413</v>
      </c>
      <c r="H71" t="s">
        <v>62</v>
      </c>
    </row>
    <row r="72" spans="3:8" ht="15" customHeight="1">
      <c r="C72" s="27" t="s">
        <v>63</v>
      </c>
      <c r="D72" s="44">
        <v>-77046</v>
      </c>
      <c r="E72" s="23">
        <v>-95846</v>
      </c>
      <c r="F72" s="23">
        <v>-90052</v>
      </c>
      <c r="H72" t="s">
        <v>64</v>
      </c>
    </row>
    <row r="73" spans="3:8" ht="15" customHeight="1">
      <c r="C73" s="27" t="s">
        <v>65</v>
      </c>
      <c r="D73" s="30"/>
      <c r="E73" s="45">
        <v>0.05</v>
      </c>
      <c r="F73" s="45">
        <v>4.19E-2</v>
      </c>
    </row>
    <row r="74" spans="3:8" ht="15" customHeight="1">
      <c r="C74" s="27"/>
      <c r="D74" s="46"/>
      <c r="E74" s="46"/>
      <c r="F74" s="46"/>
    </row>
    <row r="75" spans="3:8" ht="15" customHeight="1">
      <c r="C75" s="47"/>
      <c r="D75" s="48"/>
      <c r="E75" s="48"/>
      <c r="F75" s="48"/>
    </row>
  </sheetData>
  <conditionalFormatting sqref="C39">
    <cfRule type="expression" dxfId="1" priority="2">
      <formula>#REF!=$C39</formula>
    </cfRule>
  </conditionalFormatting>
  <dataValidations count="2">
    <dataValidation type="list" allowBlank="1" showInputMessage="1" showErrorMessage="1" sqref="D7" xr:uid="{00000000-0002-0000-0000-000000000000}">
      <formula1>"0,1"</formula1>
      <formula2>0</formula2>
    </dataValidation>
    <dataValidation type="list" allowBlank="1" showInputMessage="1" showErrorMessage="1" sqref="C3" xr:uid="{00000000-0002-0000-0000-000001000000}">
      <formula1>"$ bns except per share,$ mm except per share,$ in thousands except per share"</formula1>
      <formula2>0</formula2>
    </dataValidation>
  </dataValidations>
  <pageMargins left="0.7" right="0.7" top="0.75" bottom="0.75" header="0.511811023622047" footer="0.511811023622047"/>
  <pageSetup fitToHeight="0" orientation="portrait" horizontalDpi="300" verticalDpi="30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T157"/>
  <sheetViews>
    <sheetView zoomScaleNormal="100" workbookViewId="0">
      <selection activeCell="M15" sqref="M15:S15"/>
    </sheetView>
  </sheetViews>
  <sheetFormatPr baseColWidth="10" defaultColWidth="8.83203125" defaultRowHeight="15"/>
  <cols>
    <col min="1" max="2" width="1.6640625" customWidth="1"/>
    <col min="3" max="3" width="46.6640625" customWidth="1"/>
    <col min="4" max="11" width="11.5" customWidth="1"/>
    <col min="12" max="12" width="2.33203125" customWidth="1"/>
    <col min="13" max="13" width="11.5" customWidth="1"/>
    <col min="14" max="14" width="11.83203125" customWidth="1"/>
    <col min="15" max="17" width="10.33203125" customWidth="1"/>
    <col min="18" max="19" width="9.5" customWidth="1"/>
  </cols>
  <sheetData>
    <row r="1" spans="3:19" ht="15.75" customHeight="1"/>
    <row r="2" spans="3:19" ht="15.75" customHeight="1">
      <c r="C2" s="1" t="str">
        <f>"Financial Statement Model for "&amp;D5</f>
        <v>Financial Statement Model for Apple</v>
      </c>
      <c r="D2" s="2"/>
      <c r="E2" s="2"/>
      <c r="F2" s="2"/>
      <c r="G2" s="2"/>
      <c r="H2" s="2"/>
      <c r="I2" s="2"/>
      <c r="J2" s="2"/>
      <c r="K2" s="2"/>
    </row>
    <row r="3" spans="3:19" ht="15" customHeight="1">
      <c r="C3" s="3" t="s">
        <v>0</v>
      </c>
      <c r="D3" s="4"/>
      <c r="E3" s="4"/>
      <c r="F3" s="4"/>
      <c r="G3" s="4"/>
      <c r="H3" s="4"/>
    </row>
    <row r="5" spans="3:19" ht="15" customHeight="1">
      <c r="C5" s="5" t="s">
        <v>1</v>
      </c>
      <c r="D5" s="6" t="s">
        <v>2</v>
      </c>
    </row>
    <row r="6" spans="3:19" ht="15" customHeight="1">
      <c r="C6" s="5" t="s">
        <v>3</v>
      </c>
      <c r="D6" s="6" t="s">
        <v>4</v>
      </c>
    </row>
    <row r="7" spans="3:19" ht="15" customHeight="1">
      <c r="C7" t="s">
        <v>5</v>
      </c>
      <c r="D7" s="7">
        <v>1</v>
      </c>
    </row>
    <row r="8" spans="3:19" ht="15" customHeight="1">
      <c r="C8" t="s">
        <v>6</v>
      </c>
      <c r="D8" s="49">
        <v>296.42</v>
      </c>
    </row>
    <row r="9" spans="3:19" ht="15" customHeight="1">
      <c r="C9" t="s">
        <v>7</v>
      </c>
      <c r="D9" s="9">
        <v>46189</v>
      </c>
    </row>
    <row r="10" spans="3:19" ht="15" customHeight="1">
      <c r="C10" s="5" t="s">
        <v>8</v>
      </c>
      <c r="D10" s="10">
        <v>45927</v>
      </c>
      <c r="G10" s="50"/>
    </row>
    <row r="11" spans="3:19" ht="15" customHeight="1">
      <c r="C11" t="s">
        <v>9</v>
      </c>
      <c r="D11" s="51">
        <v>14776.352999999999</v>
      </c>
    </row>
    <row r="13" spans="3:19" ht="15" customHeight="1">
      <c r="C13" s="13" t="s">
        <v>10</v>
      </c>
      <c r="D13" s="14"/>
      <c r="E13" s="14"/>
      <c r="F13" s="14"/>
      <c r="G13" s="14"/>
      <c r="H13" s="14"/>
      <c r="I13" s="14"/>
      <c r="J13" s="14"/>
      <c r="K13" s="14"/>
    </row>
    <row r="14" spans="3:19" ht="15" customHeight="1">
      <c r="C14" t="s">
        <v>11</v>
      </c>
      <c r="D14" s="15">
        <f>E14-1</f>
        <v>2023</v>
      </c>
      <c r="E14" s="15">
        <f>F14-1</f>
        <v>2024</v>
      </c>
      <c r="F14" s="15">
        <f>YEAR(D10)</f>
        <v>2025</v>
      </c>
      <c r="G14" s="52">
        <f>F14+1</f>
        <v>2026</v>
      </c>
      <c r="H14" s="52">
        <f>G14+1</f>
        <v>2027</v>
      </c>
      <c r="I14" s="52">
        <f>H14+1</f>
        <v>2028</v>
      </c>
      <c r="J14" s="52">
        <f>I14+1</f>
        <v>2029</v>
      </c>
      <c r="K14" s="52">
        <f>J14+1</f>
        <v>2030</v>
      </c>
    </row>
    <row r="15" spans="3:19" ht="15" customHeight="1">
      <c r="C15" s="16" t="s">
        <v>12</v>
      </c>
      <c r="D15" s="17">
        <f>EOMONTH(E15,-12)</f>
        <v>45199</v>
      </c>
      <c r="E15" s="17">
        <f>EOMONTH(F15,-12)</f>
        <v>45565</v>
      </c>
      <c r="F15" s="17">
        <f>D10</f>
        <v>45927</v>
      </c>
      <c r="G15" s="17">
        <f>EOMONTH(F15,12)</f>
        <v>46295</v>
      </c>
      <c r="H15" s="17">
        <f>EOMONTH(G15,12)</f>
        <v>46660</v>
      </c>
      <c r="I15" s="17">
        <f>EOMONTH(H15,12)</f>
        <v>47026</v>
      </c>
      <c r="J15" s="17">
        <f>EOMONTH(I15,12)</f>
        <v>47391</v>
      </c>
      <c r="K15" s="17">
        <f>EOMONTH(J15,12)</f>
        <v>47756</v>
      </c>
      <c r="M15" s="109"/>
      <c r="N15" s="110"/>
      <c r="O15" s="110"/>
      <c r="P15" s="110"/>
      <c r="Q15" s="110"/>
      <c r="R15" s="110"/>
      <c r="S15" s="110"/>
    </row>
    <row r="16" spans="3:19" ht="15" customHeight="1">
      <c r="C16" s="20"/>
      <c r="D16" s="21"/>
      <c r="E16" s="22"/>
      <c r="F16" s="22"/>
      <c r="G16" s="53"/>
      <c r="H16" s="54"/>
      <c r="I16" s="54"/>
      <c r="J16" s="22"/>
      <c r="K16" s="22"/>
    </row>
    <row r="17" spans="3:14" ht="15" customHeight="1">
      <c r="C17" t="s">
        <v>13</v>
      </c>
      <c r="D17" s="36">
        <v>383285</v>
      </c>
      <c r="E17" s="36">
        <v>391035</v>
      </c>
      <c r="F17" s="36">
        <v>416161</v>
      </c>
      <c r="G17" s="55">
        <f>F17*(1+G36)</f>
        <v>436969.05000000005</v>
      </c>
      <c r="H17" s="55">
        <f>G17*(1+H36)</f>
        <v>458817.50250000006</v>
      </c>
      <c r="I17" s="55">
        <f>H17*(1+I36)</f>
        <v>481758.37762500008</v>
      </c>
      <c r="J17" s="55">
        <f>I17*(1+J36)</f>
        <v>505846.2965062501</v>
      </c>
      <c r="K17" s="55">
        <f>J17*(1+K36)</f>
        <v>531138.61133156263</v>
      </c>
    </row>
    <row r="18" spans="3:14" ht="15" customHeight="1">
      <c r="C18" t="s">
        <v>14</v>
      </c>
      <c r="D18" s="36">
        <v>-214137</v>
      </c>
      <c r="E18" s="36">
        <v>-210352</v>
      </c>
      <c r="F18" s="36">
        <v>-220960</v>
      </c>
      <c r="G18" s="55">
        <f>G19-G17</f>
        <v>-232008.00000000003</v>
      </c>
      <c r="H18" s="55">
        <f>H19-H17</f>
        <v>-243608.40000000002</v>
      </c>
      <c r="I18" s="55">
        <f>I19-I17</f>
        <v>-255788.82000000004</v>
      </c>
      <c r="J18" s="55">
        <f>J19-J17</f>
        <v>-268578.26100000006</v>
      </c>
      <c r="K18" s="55">
        <f>K19-K17</f>
        <v>-282007.17405000003</v>
      </c>
    </row>
    <row r="19" spans="3:14" ht="15" customHeight="1">
      <c r="C19" s="24" t="s">
        <v>15</v>
      </c>
      <c r="D19" s="38">
        <f>SUM(D17:D18)</f>
        <v>169148</v>
      </c>
      <c r="E19" s="38">
        <f>SUM(E17:E18)</f>
        <v>180683</v>
      </c>
      <c r="F19" s="38">
        <f>SUM(F17:F18)</f>
        <v>195201</v>
      </c>
      <c r="G19" s="25">
        <f>G17*G37</f>
        <v>204961.05000000002</v>
      </c>
      <c r="H19" s="25">
        <f>H17*H37</f>
        <v>215209.10250000004</v>
      </c>
      <c r="I19" s="25">
        <f>I17*I37</f>
        <v>225969.55762500004</v>
      </c>
      <c r="J19" s="25">
        <f>J17*J37</f>
        <v>237268.03550625005</v>
      </c>
      <c r="K19" s="25">
        <f>K17*K37</f>
        <v>249131.43728156257</v>
      </c>
    </row>
    <row r="20" spans="3:14" ht="15" customHeight="1">
      <c r="C20" t="s">
        <v>16</v>
      </c>
      <c r="D20" s="36">
        <v>-29915</v>
      </c>
      <c r="E20" s="36">
        <v>-31370</v>
      </c>
      <c r="F20" s="36">
        <v>-34550</v>
      </c>
      <c r="G20" s="55">
        <f>-G38*G17</f>
        <v>-36277.500000000007</v>
      </c>
      <c r="H20" s="55">
        <f>-H38*H17</f>
        <v>-38091.375000000007</v>
      </c>
      <c r="I20" s="55">
        <f>-I38*I17</f>
        <v>-39995.943750000006</v>
      </c>
      <c r="J20" s="55">
        <f>-J38*J17</f>
        <v>-41995.740937500013</v>
      </c>
      <c r="K20" s="55">
        <f>-K38*K17</f>
        <v>-44095.52798437501</v>
      </c>
    </row>
    <row r="21" spans="3:14" ht="15" customHeight="1">
      <c r="C21" t="s">
        <v>17</v>
      </c>
      <c r="D21" s="36">
        <v>-24932</v>
      </c>
      <c r="E21" s="36">
        <v>-26097</v>
      </c>
      <c r="F21" s="36">
        <v>-27601</v>
      </c>
      <c r="G21" s="55">
        <f>-G17*G39</f>
        <v>-28981.050000000007</v>
      </c>
      <c r="H21" s="55">
        <f>-H17*H39</f>
        <v>-30430.102500000008</v>
      </c>
      <c r="I21" s="55">
        <f>-I17*I39</f>
        <v>-31951.607625000008</v>
      </c>
      <c r="J21" s="55">
        <f>-J17*J39</f>
        <v>-33549.188006250006</v>
      </c>
      <c r="K21" s="55">
        <f>-K17*K39</f>
        <v>-35226.647406562508</v>
      </c>
    </row>
    <row r="22" spans="3:14" ht="15" customHeight="1">
      <c r="C22" s="24" t="s">
        <v>18</v>
      </c>
      <c r="D22" s="38">
        <f t="shared" ref="D22:K22" si="0">D19+D20+D21</f>
        <v>114301</v>
      </c>
      <c r="E22" s="38">
        <f t="shared" si="0"/>
        <v>123216</v>
      </c>
      <c r="F22" s="38">
        <f t="shared" si="0"/>
        <v>133050</v>
      </c>
      <c r="G22" s="25">
        <f t="shared" si="0"/>
        <v>139702.5</v>
      </c>
      <c r="H22" s="25">
        <f t="shared" si="0"/>
        <v>146687.62500000003</v>
      </c>
      <c r="I22" s="25">
        <f t="shared" si="0"/>
        <v>154022.00625000003</v>
      </c>
      <c r="J22" s="25">
        <f t="shared" si="0"/>
        <v>161723.1065625</v>
      </c>
      <c r="K22" s="25">
        <f t="shared" si="0"/>
        <v>169809.26189062506</v>
      </c>
      <c r="M22" s="24"/>
    </row>
    <row r="23" spans="3:14" ht="15" customHeight="1">
      <c r="C23" t="s">
        <v>19</v>
      </c>
      <c r="D23" s="56">
        <v>0</v>
      </c>
      <c r="E23" s="56">
        <v>0</v>
      </c>
      <c r="F23" s="56">
        <v>0</v>
      </c>
      <c r="G23" s="57">
        <f ca="1">G156</f>
        <v>5112.0223383388884</v>
      </c>
      <c r="H23" s="57">
        <f ca="1">H156</f>
        <v>6126.2494304238862</v>
      </c>
      <c r="I23" s="57">
        <f ca="1">I156</f>
        <v>7340.2594761439104</v>
      </c>
      <c r="J23" s="57">
        <f ca="1">J156</f>
        <v>8845.3403781500492</v>
      </c>
      <c r="K23" s="57">
        <f ca="1">K156</f>
        <v>10663.487974063724</v>
      </c>
    </row>
    <row r="24" spans="3:14" ht="15" customHeight="1">
      <c r="C24" t="s">
        <v>20</v>
      </c>
      <c r="D24" s="56">
        <v>0</v>
      </c>
      <c r="E24" s="56">
        <v>0</v>
      </c>
      <c r="F24" s="56">
        <v>0</v>
      </c>
      <c r="G24" s="57">
        <f ca="1">-G142</f>
        <v>-3002.8830500000004</v>
      </c>
      <c r="H24" s="57">
        <f ca="1">-H142</f>
        <v>-3087.1230000000005</v>
      </c>
      <c r="I24" s="57">
        <f ca="1">-I142</f>
        <v>-3087.1230000000005</v>
      </c>
      <c r="J24" s="57">
        <f ca="1">-J142</f>
        <v>-3087.1230000000005</v>
      </c>
      <c r="K24" s="57">
        <f ca="1">-K142</f>
        <v>-3087.1230000000005</v>
      </c>
    </row>
    <row r="25" spans="3:14" ht="15" customHeight="1">
      <c r="C25" t="s">
        <v>21</v>
      </c>
      <c r="D25" s="36">
        <v>-565</v>
      </c>
      <c r="E25" s="36">
        <v>269</v>
      </c>
      <c r="F25" s="36">
        <v>-321</v>
      </c>
      <c r="G25" s="58">
        <f>F25</f>
        <v>-321</v>
      </c>
      <c r="H25" s="58">
        <f>G25</f>
        <v>-321</v>
      </c>
      <c r="I25" s="58">
        <f>H25</f>
        <v>-321</v>
      </c>
      <c r="J25" s="58">
        <f>I25</f>
        <v>-321</v>
      </c>
      <c r="K25" s="58">
        <f>J25</f>
        <v>-321</v>
      </c>
    </row>
    <row r="26" spans="3:14" ht="15" customHeight="1">
      <c r="C26" s="24" t="s">
        <v>22</v>
      </c>
      <c r="D26" s="38">
        <f t="shared" ref="D26:K26" si="1">SUM(D22:D25)</f>
        <v>113736</v>
      </c>
      <c r="E26" s="38">
        <f t="shared" si="1"/>
        <v>123485</v>
      </c>
      <c r="F26" s="38">
        <f t="shared" si="1"/>
        <v>132729</v>
      </c>
      <c r="G26" s="25">
        <f t="shared" ca="1" si="1"/>
        <v>141490.63928833889</v>
      </c>
      <c r="H26" s="25">
        <f t="shared" ca="1" si="1"/>
        <v>149405.75143042393</v>
      </c>
      <c r="I26" s="25">
        <f t="shared" ca="1" si="1"/>
        <v>157954.14272614397</v>
      </c>
      <c r="J26" s="25">
        <f t="shared" ca="1" si="1"/>
        <v>167160.32394065007</v>
      </c>
      <c r="K26" s="25">
        <f t="shared" ca="1" si="1"/>
        <v>177064.62686468879</v>
      </c>
      <c r="M26" s="24"/>
      <c r="N26" s="24"/>
    </row>
    <row r="27" spans="3:14" ht="15" customHeight="1">
      <c r="C27" t="s">
        <v>23</v>
      </c>
      <c r="D27" s="36">
        <v>-16741</v>
      </c>
      <c r="E27" s="36">
        <v>-29749</v>
      </c>
      <c r="F27" s="36">
        <v>-20719</v>
      </c>
      <c r="G27" s="55">
        <f ca="1">-G40*G26</f>
        <v>-22086.692097545325</v>
      </c>
      <c r="H27" s="55">
        <f ca="1">-H40*H26</f>
        <v>-23322.241287789053</v>
      </c>
      <c r="I27" s="55">
        <f ca="1">-I40*I26</f>
        <v>-24656.645368705984</v>
      </c>
      <c r="J27" s="55">
        <f ca="1">-J40*J26</f>
        <v>-26093.730471308671</v>
      </c>
      <c r="K27" s="55">
        <f ca="1">-K40*K26</f>
        <v>-27639.792389074632</v>
      </c>
    </row>
    <row r="28" spans="3:14" ht="15" customHeight="1">
      <c r="C28" s="24" t="s">
        <v>24</v>
      </c>
      <c r="D28" s="38">
        <f t="shared" ref="D28:K28" si="2">SUM(D26:D27)</f>
        <v>96995</v>
      </c>
      <c r="E28" s="38">
        <f t="shared" si="2"/>
        <v>93736</v>
      </c>
      <c r="F28" s="38">
        <f t="shared" si="2"/>
        <v>112010</v>
      </c>
      <c r="G28" s="25">
        <f t="shared" ca="1" si="2"/>
        <v>119403.94719079357</v>
      </c>
      <c r="H28" s="25">
        <f t="shared" ca="1" si="2"/>
        <v>126083.51014263488</v>
      </c>
      <c r="I28" s="25">
        <f t="shared" ca="1" si="2"/>
        <v>133297.49735743797</v>
      </c>
      <c r="J28" s="25">
        <f t="shared" ca="1" si="2"/>
        <v>141066.5934693414</v>
      </c>
      <c r="K28" s="25">
        <f t="shared" ca="1" si="2"/>
        <v>149424.83447561416</v>
      </c>
      <c r="M28" s="24"/>
    </row>
    <row r="29" spans="3:14" ht="15" customHeight="1">
      <c r="C29" s="26"/>
      <c r="D29" s="39"/>
      <c r="E29" s="39"/>
      <c r="F29" s="39"/>
      <c r="G29" s="39"/>
      <c r="H29" s="39"/>
      <c r="I29" s="39"/>
      <c r="J29" s="39"/>
      <c r="K29" s="39"/>
    </row>
    <row r="30" spans="3:14" ht="15" customHeight="1">
      <c r="C30" s="27" t="s">
        <v>25</v>
      </c>
      <c r="D30" s="36">
        <v>11519</v>
      </c>
      <c r="E30" s="36">
        <v>11445</v>
      </c>
      <c r="F30" s="36">
        <v>11698</v>
      </c>
      <c r="G30" s="58">
        <f>G106</f>
        <v>12549.914999999999</v>
      </c>
      <c r="H30" s="58">
        <f>H106</f>
        <v>13457.7765</v>
      </c>
      <c r="I30" s="58">
        <f>I106</f>
        <v>14425.049362500002</v>
      </c>
      <c r="J30" s="58">
        <f>J106</f>
        <v>15455.405070000003</v>
      </c>
      <c r="K30" s="58">
        <f>K106</f>
        <v>16552.733724843754</v>
      </c>
    </row>
    <row r="31" spans="3:14" ht="15" customHeight="1">
      <c r="C31" s="28" t="s">
        <v>26</v>
      </c>
      <c r="D31" s="38">
        <f t="shared" ref="D31:K31" si="3">D22+D30</f>
        <v>125820</v>
      </c>
      <c r="E31" s="38">
        <f t="shared" si="3"/>
        <v>134661</v>
      </c>
      <c r="F31" s="38">
        <f t="shared" si="3"/>
        <v>144748</v>
      </c>
      <c r="G31" s="25">
        <f t="shared" si="3"/>
        <v>152252.41500000001</v>
      </c>
      <c r="H31" s="25">
        <f t="shared" si="3"/>
        <v>160145.40150000004</v>
      </c>
      <c r="I31" s="25">
        <f t="shared" si="3"/>
        <v>168447.05561250003</v>
      </c>
      <c r="J31" s="25">
        <f t="shared" si="3"/>
        <v>177178.51163250001</v>
      </c>
      <c r="K31" s="25">
        <f t="shared" si="3"/>
        <v>186361.99561546883</v>
      </c>
      <c r="M31" s="24"/>
    </row>
    <row r="32" spans="3:14" ht="15" customHeight="1">
      <c r="C32" s="27" t="s">
        <v>27</v>
      </c>
      <c r="D32" s="36">
        <v>10833</v>
      </c>
      <c r="E32" s="36">
        <v>11688</v>
      </c>
      <c r="F32" s="36">
        <v>12863</v>
      </c>
      <c r="G32" s="58">
        <f>F32*(1+G36)</f>
        <v>13506.150000000001</v>
      </c>
      <c r="H32" s="58">
        <f>G32*(1+H36)</f>
        <v>14181.457500000002</v>
      </c>
      <c r="I32" s="58">
        <f>H32*(1+I36)</f>
        <v>14890.530375000002</v>
      </c>
      <c r="J32" s="58">
        <f>I32*(1+J36)</f>
        <v>15635.056893750003</v>
      </c>
      <c r="K32" s="58">
        <f>J32*(1+K36)</f>
        <v>16416.809738437503</v>
      </c>
    </row>
    <row r="33" spans="3:20" ht="15" customHeight="1">
      <c r="C33" s="28" t="s">
        <v>28</v>
      </c>
      <c r="D33" s="38">
        <f t="shared" ref="D33:K33" si="4">SUM(D31:D32)</f>
        <v>136653</v>
      </c>
      <c r="E33" s="38">
        <f t="shared" si="4"/>
        <v>146349</v>
      </c>
      <c r="F33" s="38">
        <f t="shared" si="4"/>
        <v>157611</v>
      </c>
      <c r="G33" s="25">
        <f t="shared" si="4"/>
        <v>165758.565</v>
      </c>
      <c r="H33" s="25">
        <f t="shared" si="4"/>
        <v>174326.85900000003</v>
      </c>
      <c r="I33" s="25">
        <f t="shared" si="4"/>
        <v>183337.58598750003</v>
      </c>
      <c r="J33" s="25">
        <f t="shared" si="4"/>
        <v>192813.56852625002</v>
      </c>
      <c r="K33" s="25">
        <f t="shared" si="4"/>
        <v>202778.80535390633</v>
      </c>
      <c r="M33" s="24"/>
    </row>
    <row r="34" spans="3:20" ht="15" customHeight="1">
      <c r="C34" s="26"/>
      <c r="G34" s="59"/>
    </row>
    <row r="35" spans="3:20" ht="15" customHeight="1">
      <c r="C35" s="29" t="s">
        <v>66</v>
      </c>
    </row>
    <row r="36" spans="3:20" ht="15" customHeight="1">
      <c r="C36" s="26" t="s">
        <v>30</v>
      </c>
      <c r="D36" s="60"/>
      <c r="E36" s="60">
        <f>E17/D17-1</f>
        <v>2.021994077514111E-2</v>
      </c>
      <c r="F36" s="60">
        <f>F17/E17-1</f>
        <v>6.425511782832749E-2</v>
      </c>
      <c r="G36" s="61">
        <v>0.05</v>
      </c>
      <c r="H36" s="61">
        <v>0.05</v>
      </c>
      <c r="I36" s="61">
        <v>0.05</v>
      </c>
      <c r="J36" s="60">
        <f t="shared" ref="J36:K40" si="5">I36</f>
        <v>0.05</v>
      </c>
      <c r="K36" s="60">
        <f t="shared" si="5"/>
        <v>0.05</v>
      </c>
      <c r="O36" s="32"/>
      <c r="P36" s="32"/>
      <c r="Q36" s="32"/>
      <c r="R36" s="32"/>
      <c r="S36" s="32"/>
      <c r="T36" s="32"/>
    </row>
    <row r="37" spans="3:20" ht="15" customHeight="1">
      <c r="C37" s="26" t="s">
        <v>31</v>
      </c>
      <c r="D37" s="60">
        <f>D19/D17</f>
        <v>0.44131129577207562</v>
      </c>
      <c r="E37" s="60">
        <f>E19/E17</f>
        <v>0.46206349815233932</v>
      </c>
      <c r="F37" s="60">
        <f>F19/F17</f>
        <v>0.46905164107160452</v>
      </c>
      <c r="G37" s="61">
        <f t="shared" ref="G37:I40" si="6">F37</f>
        <v>0.46905164107160452</v>
      </c>
      <c r="H37" s="61">
        <f t="shared" si="6"/>
        <v>0.46905164107160452</v>
      </c>
      <c r="I37" s="61">
        <f t="shared" si="6"/>
        <v>0.46905164107160452</v>
      </c>
      <c r="J37" s="60">
        <f t="shared" si="5"/>
        <v>0.46905164107160452</v>
      </c>
      <c r="K37" s="60">
        <f t="shared" si="5"/>
        <v>0.46905164107160452</v>
      </c>
      <c r="O37" s="32"/>
      <c r="P37" s="32"/>
      <c r="Q37" s="32"/>
      <c r="R37" s="32"/>
      <c r="S37" s="32"/>
      <c r="T37" s="32"/>
    </row>
    <row r="38" spans="3:20" ht="15" customHeight="1">
      <c r="C38" s="26" t="s">
        <v>32</v>
      </c>
      <c r="D38" s="60">
        <f>-D20/D17</f>
        <v>7.8048971392045086E-2</v>
      </c>
      <c r="E38" s="60">
        <f>-E20/E17</f>
        <v>8.0222997941360744E-2</v>
      </c>
      <c r="F38" s="60">
        <f>-F20/F17</f>
        <v>8.3020753987038676E-2</v>
      </c>
      <c r="G38" s="61">
        <f t="shared" si="6"/>
        <v>8.3020753987038676E-2</v>
      </c>
      <c r="H38" s="61">
        <f t="shared" si="6"/>
        <v>8.3020753987038676E-2</v>
      </c>
      <c r="I38" s="61">
        <f t="shared" si="6"/>
        <v>8.3020753987038676E-2</v>
      </c>
      <c r="J38" s="60">
        <f t="shared" si="5"/>
        <v>8.3020753987038676E-2</v>
      </c>
      <c r="K38" s="60">
        <f t="shared" si="5"/>
        <v>8.3020753987038676E-2</v>
      </c>
      <c r="O38" s="32"/>
      <c r="P38" s="32"/>
      <c r="Q38" s="32"/>
      <c r="R38" s="32"/>
      <c r="S38" s="32"/>
      <c r="T38" s="32"/>
    </row>
    <row r="39" spans="3:20" ht="15" customHeight="1">
      <c r="C39" s="26" t="s">
        <v>33</v>
      </c>
      <c r="D39" s="60">
        <f>-D21/D17</f>
        <v>6.5048201729783317E-2</v>
      </c>
      <c r="E39" s="60">
        <f>-E21/E17</f>
        <v>6.6738271510222866E-2</v>
      </c>
      <c r="F39" s="60">
        <f>-F21/F17</f>
        <v>6.6322889458647019E-2</v>
      </c>
      <c r="G39" s="61">
        <f t="shared" si="6"/>
        <v>6.6322889458647019E-2</v>
      </c>
      <c r="H39" s="61">
        <f t="shared" si="6"/>
        <v>6.6322889458647019E-2</v>
      </c>
      <c r="I39" s="61">
        <f t="shared" si="6"/>
        <v>6.6322889458647019E-2</v>
      </c>
      <c r="J39" s="60">
        <f t="shared" si="5"/>
        <v>6.6322889458647019E-2</v>
      </c>
      <c r="K39" s="60">
        <f t="shared" si="5"/>
        <v>6.6322889458647019E-2</v>
      </c>
      <c r="O39" s="32"/>
      <c r="P39" s="32"/>
      <c r="Q39" s="32"/>
      <c r="R39" s="32"/>
      <c r="S39" s="32"/>
      <c r="T39" s="32"/>
    </row>
    <row r="40" spans="3:20" ht="15" customHeight="1">
      <c r="C40" s="26" t="s">
        <v>34</v>
      </c>
      <c r="D40" s="60">
        <f>-(D27/D26)</f>
        <v>0.14719174228036858</v>
      </c>
      <c r="E40" s="60">
        <f>-(E27/E26)</f>
        <v>0.24091185164189982</v>
      </c>
      <c r="F40" s="60">
        <f>-(F27/F26)</f>
        <v>0.15610002335586043</v>
      </c>
      <c r="G40" s="61">
        <f t="shared" si="6"/>
        <v>0.15610002335586043</v>
      </c>
      <c r="H40" s="61">
        <f t="shared" si="6"/>
        <v>0.15610002335586043</v>
      </c>
      <c r="I40" s="61">
        <f t="shared" si="6"/>
        <v>0.15610002335586043</v>
      </c>
      <c r="J40" s="60">
        <f t="shared" si="5"/>
        <v>0.15610002335586043</v>
      </c>
      <c r="K40" s="60">
        <f t="shared" si="5"/>
        <v>0.15610002335586043</v>
      </c>
      <c r="O40" s="32"/>
      <c r="P40" s="32"/>
      <c r="Q40" s="32"/>
      <c r="R40" s="32"/>
      <c r="S40" s="32"/>
      <c r="T40" s="32"/>
    </row>
    <row r="41" spans="3:20" ht="15" customHeight="1">
      <c r="C41" s="26"/>
      <c r="G41" s="59"/>
    </row>
    <row r="42" spans="3:20" ht="15" customHeight="1">
      <c r="C42" s="13" t="s">
        <v>35</v>
      </c>
      <c r="D42" s="17"/>
      <c r="E42" s="17"/>
      <c r="F42" s="17"/>
      <c r="G42" s="14"/>
      <c r="H42" s="14"/>
      <c r="I42" s="14"/>
      <c r="J42" s="14"/>
      <c r="K42" s="14"/>
    </row>
    <row r="43" spans="3:20" ht="15" customHeight="1">
      <c r="C43" s="33" t="str">
        <f>C14</f>
        <v xml:space="preserve">Fiscal year  </v>
      </c>
      <c r="D43" s="34"/>
      <c r="E43" s="34">
        <f t="shared" ref="E43:K44" si="7">E14</f>
        <v>2024</v>
      </c>
      <c r="F43" s="34">
        <f t="shared" si="7"/>
        <v>2025</v>
      </c>
      <c r="G43" s="62">
        <f t="shared" si="7"/>
        <v>2026</v>
      </c>
      <c r="H43" s="62">
        <f t="shared" si="7"/>
        <v>2027</v>
      </c>
      <c r="I43" s="62">
        <f t="shared" si="7"/>
        <v>2028</v>
      </c>
      <c r="J43" s="62">
        <f t="shared" si="7"/>
        <v>2029</v>
      </c>
      <c r="K43" s="62">
        <f t="shared" si="7"/>
        <v>2030</v>
      </c>
    </row>
    <row r="44" spans="3:20" ht="15" customHeight="1">
      <c r="C44" s="14" t="str">
        <f>C15</f>
        <v>Fiscal year end date</v>
      </c>
      <c r="D44" s="35"/>
      <c r="E44" s="35">
        <f t="shared" si="7"/>
        <v>45565</v>
      </c>
      <c r="F44" s="35">
        <f t="shared" si="7"/>
        <v>45927</v>
      </c>
      <c r="G44" s="35">
        <f t="shared" si="7"/>
        <v>46295</v>
      </c>
      <c r="H44" s="35">
        <f t="shared" si="7"/>
        <v>46660</v>
      </c>
      <c r="I44" s="35">
        <f t="shared" si="7"/>
        <v>47026</v>
      </c>
      <c r="J44" s="35">
        <f t="shared" si="7"/>
        <v>47391</v>
      </c>
      <c r="K44" s="35">
        <f t="shared" si="7"/>
        <v>47756</v>
      </c>
    </row>
    <row r="45" spans="3:20" ht="15" customHeight="1">
      <c r="C45" t="s">
        <v>38</v>
      </c>
      <c r="D45" s="36"/>
      <c r="E45" s="36">
        <f>29943+35228+91479</f>
        <v>156650</v>
      </c>
      <c r="F45" s="36">
        <f>35934+18763+77723</f>
        <v>132420</v>
      </c>
      <c r="G45" s="58">
        <f ca="1">G90+F45</f>
        <v>159695.5621907936</v>
      </c>
      <c r="H45" s="58">
        <f ca="1">H90+G45</f>
        <v>190375.83383342845</v>
      </c>
      <c r="I45" s="58">
        <f ca="1">I90+H45</f>
        <v>229067.56480336637</v>
      </c>
      <c r="J45" s="58">
        <f ca="1">J90+I45</f>
        <v>276380.45680520777</v>
      </c>
      <c r="K45" s="58">
        <f ca="1">K90+J45</f>
        <v>332961.71314129065</v>
      </c>
    </row>
    <row r="46" spans="3:20" ht="15" customHeight="1">
      <c r="C46" t="s">
        <v>39</v>
      </c>
      <c r="D46" s="36"/>
      <c r="E46" s="36">
        <v>33410</v>
      </c>
      <c r="F46" s="36">
        <v>39777</v>
      </c>
      <c r="G46" s="58">
        <f>F46*(1+G36)</f>
        <v>41765.85</v>
      </c>
      <c r="H46" s="58">
        <f>G46*(1+H36)</f>
        <v>43854.142500000002</v>
      </c>
      <c r="I46" s="58">
        <f>H46*(1+I36)</f>
        <v>46046.849625000003</v>
      </c>
      <c r="J46" s="58">
        <f>I46*(1+J36)</f>
        <v>48349.192106250004</v>
      </c>
      <c r="K46" s="58">
        <f>J46*(1+K36)</f>
        <v>50766.651711562503</v>
      </c>
    </row>
    <row r="47" spans="3:20" ht="15" customHeight="1">
      <c r="C47" t="s">
        <v>40</v>
      </c>
      <c r="D47" s="36"/>
      <c r="E47" s="36">
        <v>7286</v>
      </c>
      <c r="F47" s="36">
        <v>5718</v>
      </c>
      <c r="G47" s="58">
        <f>F47*G18/F18</f>
        <v>6003.9000000000015</v>
      </c>
      <c r="H47" s="58">
        <f>G47*H18/G18</f>
        <v>6304.0950000000012</v>
      </c>
      <c r="I47" s="58">
        <f>H47*I18/H18</f>
        <v>6619.299750000001</v>
      </c>
      <c r="J47" s="58">
        <f>I47*J18/I18</f>
        <v>6950.2647375000015</v>
      </c>
      <c r="K47" s="58">
        <f>J47*K18/J18</f>
        <v>7297.7779743750007</v>
      </c>
    </row>
    <row r="48" spans="3:20" ht="15" customHeight="1">
      <c r="C48" t="s">
        <v>41</v>
      </c>
      <c r="D48" s="36"/>
      <c r="E48" s="36">
        <f>14287+32833</f>
        <v>47120</v>
      </c>
      <c r="F48" s="36">
        <f>14585+33180</f>
        <v>47765</v>
      </c>
      <c r="G48" s="58">
        <f>F48*(1+G36)</f>
        <v>50153.25</v>
      </c>
      <c r="H48" s="58">
        <f>G48*(1+H36)</f>
        <v>52660.912500000006</v>
      </c>
      <c r="I48" s="58">
        <f>H48*(1+I36)</f>
        <v>55293.958125000012</v>
      </c>
      <c r="J48" s="58">
        <f>I48*(1+J36)</f>
        <v>58058.656031250015</v>
      </c>
      <c r="K48" s="58">
        <f>J48*(1+K36)</f>
        <v>60961.588832812522</v>
      </c>
    </row>
    <row r="49" spans="3:11" ht="15" customHeight="1">
      <c r="C49" t="s">
        <v>42</v>
      </c>
      <c r="D49" s="36"/>
      <c r="E49" s="36">
        <v>45680</v>
      </c>
      <c r="F49" s="36">
        <v>49834</v>
      </c>
      <c r="G49" s="58">
        <f>G99</f>
        <v>54517.735000000001</v>
      </c>
      <c r="H49" s="58">
        <f>H99</f>
        <v>59155.291000000005</v>
      </c>
      <c r="I49" s="58">
        <f>I99</f>
        <v>63730.340762500011</v>
      </c>
      <c r="J49" s="58">
        <f>J99</f>
        <v>68225.039773750017</v>
      </c>
      <c r="K49" s="58">
        <f>K99</f>
        <v>72619.915334218764</v>
      </c>
    </row>
    <row r="50" spans="3:11" ht="15" customHeight="1">
      <c r="C50" t="s">
        <v>43</v>
      </c>
      <c r="D50" s="36"/>
      <c r="E50" s="36">
        <v>74834</v>
      </c>
      <c r="F50" s="36">
        <v>83727</v>
      </c>
      <c r="G50" s="58">
        <f>F50*(1+G36)</f>
        <v>87913.35</v>
      </c>
      <c r="H50" s="58">
        <f>G50*(1+H36)</f>
        <v>92309.017500000016</v>
      </c>
      <c r="I50" s="58">
        <f>H50*(1+I36)</f>
        <v>96924.468375000026</v>
      </c>
      <c r="J50" s="58">
        <f>I50*(1+J36)</f>
        <v>101770.69179375003</v>
      </c>
      <c r="K50" s="58">
        <f>J50*(1+K36)</f>
        <v>106859.22638343753</v>
      </c>
    </row>
    <row r="51" spans="3:11" ht="15" customHeight="1">
      <c r="C51" s="28" t="s">
        <v>44</v>
      </c>
      <c r="D51" s="38"/>
      <c r="E51" s="38">
        <f t="shared" ref="E51:K51" si="8">SUM(E45:E50)</f>
        <v>364980</v>
      </c>
      <c r="F51" s="38">
        <f t="shared" si="8"/>
        <v>359241</v>
      </c>
      <c r="G51" s="63">
        <f t="shared" ca="1" si="8"/>
        <v>400049.64719079365</v>
      </c>
      <c r="H51" s="63">
        <f t="shared" ca="1" si="8"/>
        <v>444659.29233342852</v>
      </c>
      <c r="I51" s="63">
        <f t="shared" ca="1" si="8"/>
        <v>497682.48144086637</v>
      </c>
      <c r="J51" s="63">
        <f t="shared" ca="1" si="8"/>
        <v>559734.3012477078</v>
      </c>
      <c r="K51" s="63">
        <f t="shared" ca="1" si="8"/>
        <v>631466.87337769696</v>
      </c>
    </row>
    <row r="52" spans="3:11" ht="15" customHeight="1">
      <c r="C52" s="27"/>
      <c r="D52" s="39"/>
      <c r="E52" s="39"/>
      <c r="F52" s="39"/>
      <c r="G52" s="39"/>
      <c r="H52" s="39"/>
      <c r="I52" s="39"/>
      <c r="J52" s="39"/>
      <c r="K52" s="39"/>
    </row>
    <row r="53" spans="3:11" ht="15" customHeight="1">
      <c r="C53" s="27" t="s">
        <v>45</v>
      </c>
      <c r="D53" s="36"/>
      <c r="E53" s="36">
        <v>68960</v>
      </c>
      <c r="F53" s="36">
        <v>69860</v>
      </c>
      <c r="G53" s="58">
        <f>F53*G18/F18</f>
        <v>73353.000000000015</v>
      </c>
      <c r="H53" s="58">
        <f>G53*H18/G18</f>
        <v>77020.650000000009</v>
      </c>
      <c r="I53" s="58">
        <f>H53*I18/H18</f>
        <v>80871.68250000001</v>
      </c>
      <c r="J53" s="58">
        <f>I53*J18/I18</f>
        <v>84915.266625000018</v>
      </c>
      <c r="K53" s="58">
        <f>J53*K18/J18</f>
        <v>89161.02995625</v>
      </c>
    </row>
    <row r="54" spans="3:11" ht="15" customHeight="1">
      <c r="C54" s="27" t="s">
        <v>46</v>
      </c>
      <c r="D54" s="36"/>
      <c r="E54" s="36">
        <v>78304</v>
      </c>
      <c r="F54" s="36">
        <v>66387</v>
      </c>
      <c r="G54" s="58">
        <f>F54*(1+G36)</f>
        <v>69706.350000000006</v>
      </c>
      <c r="H54" s="58">
        <f>G54*(1+H36)</f>
        <v>73191.66750000001</v>
      </c>
      <c r="I54" s="58">
        <f>H54*(1+I36)</f>
        <v>76851.250875000012</v>
      </c>
      <c r="J54" s="58">
        <f>I54*(1+J36)</f>
        <v>80693.813418750011</v>
      </c>
      <c r="K54" s="58">
        <f>J54*(1+K36)</f>
        <v>84728.504089687514</v>
      </c>
    </row>
    <row r="55" spans="3:11" ht="15" customHeight="1">
      <c r="C55" s="27" t="s">
        <v>47</v>
      </c>
      <c r="D55" s="36"/>
      <c r="E55" s="36">
        <v>8249</v>
      </c>
      <c r="F55" s="36">
        <v>9055</v>
      </c>
      <c r="G55" s="58">
        <f>F55*(1+G36)</f>
        <v>9507.75</v>
      </c>
      <c r="H55" s="58">
        <f>G55*(1+H36)</f>
        <v>9983.1375000000007</v>
      </c>
      <c r="I55" s="58">
        <f>H55*(1+I36)</f>
        <v>10482.294375000001</v>
      </c>
      <c r="J55" s="58">
        <f>I55*(1+J36)</f>
        <v>11006.409093750002</v>
      </c>
      <c r="K55" s="58">
        <f>J55*(1+K36)</f>
        <v>11556.729548437503</v>
      </c>
    </row>
    <row r="56" spans="3:11" ht="15" customHeight="1">
      <c r="C56" s="27" t="s">
        <v>48</v>
      </c>
      <c r="D56" s="36"/>
      <c r="E56" s="36">
        <v>9967</v>
      </c>
      <c r="F56" s="36">
        <v>7979</v>
      </c>
      <c r="G56" s="57">
        <f ca="1">G135</f>
        <v>12000</v>
      </c>
      <c r="H56" s="57">
        <f ca="1">H135</f>
        <v>12000</v>
      </c>
      <c r="I56" s="57">
        <f ca="1">I135</f>
        <v>12000</v>
      </c>
      <c r="J56" s="57">
        <f ca="1">J135</f>
        <v>12000</v>
      </c>
      <c r="K56" s="57">
        <f ca="1">K135</f>
        <v>12000</v>
      </c>
    </row>
    <row r="57" spans="3:11" ht="15" customHeight="1">
      <c r="C57" s="27" t="s">
        <v>67</v>
      </c>
      <c r="D57" s="36"/>
      <c r="E57" s="36">
        <f>10912+85750</f>
        <v>96662</v>
      </c>
      <c r="F57" s="36">
        <f>12350+78328</f>
        <v>90678</v>
      </c>
      <c r="G57" s="58">
        <f>F57</f>
        <v>90678</v>
      </c>
      <c r="H57" s="58">
        <f>G57</f>
        <v>90678</v>
      </c>
      <c r="I57" s="58">
        <f>H57</f>
        <v>90678</v>
      </c>
      <c r="J57" s="58">
        <f>I57</f>
        <v>90678</v>
      </c>
      <c r="K57" s="58">
        <f>J57</f>
        <v>90678</v>
      </c>
    </row>
    <row r="58" spans="3:11" ht="15.75" customHeight="1">
      <c r="C58" s="27" t="s">
        <v>50</v>
      </c>
      <c r="D58" s="36"/>
      <c r="E58" s="36">
        <v>45888</v>
      </c>
      <c r="F58" s="36">
        <v>41549</v>
      </c>
      <c r="G58" s="58">
        <f>F58*(1+G36)</f>
        <v>43626.450000000004</v>
      </c>
      <c r="H58" s="58">
        <f>G58*(1+H36)</f>
        <v>45807.772500000006</v>
      </c>
      <c r="I58" s="58">
        <f>H58*(1+I36)</f>
        <v>48098.161125000006</v>
      </c>
      <c r="J58" s="58">
        <f>I58*(1+J36)</f>
        <v>50503.069181250008</v>
      </c>
      <c r="K58" s="58">
        <f>J58*(1+K36)</f>
        <v>53028.22264031251</v>
      </c>
    </row>
    <row r="59" spans="3:11" ht="15" customHeight="1">
      <c r="C59" s="28" t="s">
        <v>51</v>
      </c>
      <c r="D59" s="38"/>
      <c r="E59" s="38">
        <f t="shared" ref="E59:K59" si="9">SUM(E53:E58)</f>
        <v>308030</v>
      </c>
      <c r="F59" s="38">
        <f t="shared" si="9"/>
        <v>285508</v>
      </c>
      <c r="G59" s="63">
        <f t="shared" ca="1" si="9"/>
        <v>298871.55000000005</v>
      </c>
      <c r="H59" s="63">
        <f t="shared" ca="1" si="9"/>
        <v>308681.22750000004</v>
      </c>
      <c r="I59" s="63">
        <f t="shared" ca="1" si="9"/>
        <v>318981.388875</v>
      </c>
      <c r="J59" s="63">
        <f t="shared" ca="1" si="9"/>
        <v>329796.55831875006</v>
      </c>
      <c r="K59" s="63">
        <f t="shared" ca="1" si="9"/>
        <v>341152.4862346875</v>
      </c>
    </row>
    <row r="60" spans="3:11" ht="15" customHeight="1">
      <c r="C60" s="28"/>
      <c r="D60" s="38"/>
      <c r="E60" s="38"/>
      <c r="F60" s="38"/>
      <c r="G60" s="39"/>
      <c r="H60" s="39"/>
      <c r="I60" s="39"/>
      <c r="J60" s="39"/>
      <c r="K60" s="39"/>
    </row>
    <row r="61" spans="3:11" ht="15" customHeight="1">
      <c r="C61" s="27" t="s">
        <v>52</v>
      </c>
      <c r="D61" s="36"/>
      <c r="E61" s="36">
        <v>83276</v>
      </c>
      <c r="F61" s="36">
        <v>93568</v>
      </c>
      <c r="G61" s="58">
        <f>F61+G32</f>
        <v>107074.15</v>
      </c>
      <c r="H61" s="58">
        <f>G61+H32</f>
        <v>121255.6075</v>
      </c>
      <c r="I61" s="58">
        <f>H61+I32</f>
        <v>136146.13787500001</v>
      </c>
      <c r="J61" s="58">
        <f>I61+J32</f>
        <v>151781.19476875002</v>
      </c>
      <c r="K61" s="58">
        <f>J61+K32</f>
        <v>168198.00450718752</v>
      </c>
    </row>
    <row r="62" spans="3:11" ht="15.75" customHeight="1">
      <c r="C62" s="27" t="s">
        <v>53</v>
      </c>
      <c r="D62" s="41"/>
      <c r="E62" s="36">
        <v>-19154</v>
      </c>
      <c r="F62" s="36">
        <v>-14264</v>
      </c>
      <c r="G62" s="58">
        <f ca="1">G119</f>
        <v>-325.05280920643418</v>
      </c>
      <c r="H62" s="58">
        <f ca="1">H119</f>
        <v>20293.457333428451</v>
      </c>
      <c r="I62" s="58">
        <f ca="1">I119</f>
        <v>48125.954690866405</v>
      </c>
      <c r="J62" s="58">
        <f ca="1">J119</f>
        <v>83727.548160207807</v>
      </c>
      <c r="K62" s="58">
        <f ca="1">K119</f>
        <v>127687.38263582197</v>
      </c>
    </row>
    <row r="63" spans="3:11" ht="15.75" customHeight="1">
      <c r="C63" s="27" t="s">
        <v>54</v>
      </c>
      <c r="D63" s="36"/>
      <c r="E63" s="36">
        <v>-7172</v>
      </c>
      <c r="F63" s="36">
        <v>-5571</v>
      </c>
      <c r="G63" s="58">
        <f>F63</f>
        <v>-5571</v>
      </c>
      <c r="H63" s="58">
        <f>G63</f>
        <v>-5571</v>
      </c>
      <c r="I63" s="58">
        <f>H63</f>
        <v>-5571</v>
      </c>
      <c r="J63" s="58">
        <f>I63</f>
        <v>-5571</v>
      </c>
      <c r="K63" s="58">
        <f>J63</f>
        <v>-5571</v>
      </c>
    </row>
    <row r="64" spans="3:11" ht="15" customHeight="1">
      <c r="C64" s="28" t="s">
        <v>55</v>
      </c>
      <c r="D64" s="42"/>
      <c r="E64" s="42">
        <f t="shared" ref="E64:K64" si="10">SUM(E61:E63)</f>
        <v>56950</v>
      </c>
      <c r="F64" s="42">
        <f t="shared" si="10"/>
        <v>73733</v>
      </c>
      <c r="G64" s="63">
        <f t="shared" ca="1" si="10"/>
        <v>101178.09719079356</v>
      </c>
      <c r="H64" s="63">
        <f t="shared" ca="1" si="10"/>
        <v>135978.06483342845</v>
      </c>
      <c r="I64" s="63">
        <f t="shared" ca="1" si="10"/>
        <v>178701.09256586642</v>
      </c>
      <c r="J64" s="63">
        <f t="shared" ca="1" si="10"/>
        <v>229937.74292895783</v>
      </c>
      <c r="K64" s="63">
        <f t="shared" ca="1" si="10"/>
        <v>290314.38714300946</v>
      </c>
    </row>
    <row r="65" spans="3:13" ht="15" customHeight="1">
      <c r="D65" s="39"/>
      <c r="E65" s="39"/>
      <c r="F65" s="39"/>
    </row>
    <row r="66" spans="3:13" ht="15" customHeight="1">
      <c r="C66" s="20" t="s">
        <v>56</v>
      </c>
      <c r="D66" s="43"/>
      <c r="E66" s="43">
        <f t="shared" ref="E66:K66" si="11">ROUND(E51-E59-E64,3)</f>
        <v>0</v>
      </c>
      <c r="F66" s="43">
        <f t="shared" si="11"/>
        <v>0</v>
      </c>
      <c r="G66" s="43">
        <f t="shared" ca="1" si="11"/>
        <v>0</v>
      </c>
      <c r="H66" s="43">
        <f t="shared" ca="1" si="11"/>
        <v>0</v>
      </c>
      <c r="I66" s="43">
        <f t="shared" ca="1" si="11"/>
        <v>0</v>
      </c>
      <c r="J66" s="43">
        <f t="shared" ca="1" si="11"/>
        <v>0</v>
      </c>
      <c r="K66" s="43">
        <f t="shared" ca="1" si="11"/>
        <v>0</v>
      </c>
    </row>
    <row r="67" spans="3:13" ht="15" customHeight="1">
      <c r="E67" s="39"/>
      <c r="F67" s="39"/>
      <c r="H67" s="39"/>
      <c r="I67" s="39"/>
      <c r="J67" s="39"/>
      <c r="K67" s="39"/>
    </row>
    <row r="68" spans="3:13" ht="15" customHeight="1">
      <c r="C68" s="13" t="s">
        <v>68</v>
      </c>
      <c r="D68" s="17"/>
      <c r="E68" s="17"/>
      <c r="F68" s="17"/>
      <c r="G68" s="17"/>
      <c r="H68" s="17"/>
      <c r="I68" s="17"/>
      <c r="J68" s="17"/>
      <c r="K68" s="17"/>
    </row>
    <row r="69" spans="3:13" ht="15" customHeight="1">
      <c r="C69" s="33" t="str">
        <f>C14</f>
        <v xml:space="preserve">Fiscal year  </v>
      </c>
      <c r="D69" s="34"/>
      <c r="E69" s="34"/>
      <c r="F69" s="34"/>
      <c r="G69" s="62">
        <f t="shared" ref="G69:K70" si="12">G14</f>
        <v>2026</v>
      </c>
      <c r="H69" s="62">
        <f t="shared" si="12"/>
        <v>2027</v>
      </c>
      <c r="I69" s="62">
        <f t="shared" si="12"/>
        <v>2028</v>
      </c>
      <c r="J69" s="62">
        <f t="shared" si="12"/>
        <v>2029</v>
      </c>
      <c r="K69" s="62">
        <f t="shared" si="12"/>
        <v>2030</v>
      </c>
    </row>
    <row r="70" spans="3:13" ht="15" customHeight="1">
      <c r="C70" s="14" t="str">
        <f>C15</f>
        <v>Fiscal year end date</v>
      </c>
      <c r="D70" s="35"/>
      <c r="E70" s="35"/>
      <c r="F70" s="35"/>
      <c r="G70" s="35">
        <f t="shared" si="12"/>
        <v>46295</v>
      </c>
      <c r="H70" s="35">
        <f t="shared" si="12"/>
        <v>46660</v>
      </c>
      <c r="I70" s="35">
        <f t="shared" si="12"/>
        <v>47026</v>
      </c>
      <c r="J70" s="35">
        <f t="shared" si="12"/>
        <v>47391</v>
      </c>
      <c r="K70" s="35">
        <f t="shared" si="12"/>
        <v>47756</v>
      </c>
    </row>
    <row r="72" spans="3:13" ht="15" customHeight="1">
      <c r="C72" t="s">
        <v>24</v>
      </c>
      <c r="D72" s="37"/>
      <c r="E72" s="37"/>
      <c r="F72" s="37"/>
      <c r="G72" s="58">
        <f ca="1">G28</f>
        <v>119403.94719079357</v>
      </c>
      <c r="H72" s="58">
        <f ca="1">H28</f>
        <v>126083.51014263488</v>
      </c>
      <c r="I72" s="58">
        <f ca="1">I28</f>
        <v>133297.49735743797</v>
      </c>
      <c r="J72" s="58">
        <f ca="1">J28</f>
        <v>141066.5934693414</v>
      </c>
      <c r="K72" s="58">
        <f ca="1">K28</f>
        <v>149424.83447561416</v>
      </c>
      <c r="M72" s="24"/>
    </row>
    <row r="73" spans="3:13" ht="15" customHeight="1">
      <c r="C73" t="s">
        <v>69</v>
      </c>
      <c r="D73" s="37"/>
      <c r="E73" s="37"/>
      <c r="F73" s="37"/>
      <c r="G73" s="58">
        <f>G30</f>
        <v>12549.914999999999</v>
      </c>
      <c r="H73" s="58">
        <f>H30</f>
        <v>13457.7765</v>
      </c>
      <c r="I73" s="58">
        <f>I30</f>
        <v>14425.049362500002</v>
      </c>
      <c r="J73" s="58">
        <f>J30</f>
        <v>15455.405070000003</v>
      </c>
      <c r="K73" s="58">
        <f>K30</f>
        <v>16552.733724843754</v>
      </c>
    </row>
    <row r="74" spans="3:13" ht="15" customHeight="1">
      <c r="C74" t="s">
        <v>27</v>
      </c>
      <c r="D74" s="37"/>
      <c r="E74" s="37"/>
      <c r="F74" s="37"/>
      <c r="G74" s="58">
        <f>G32</f>
        <v>13506.150000000001</v>
      </c>
      <c r="H74" s="58">
        <f>H32</f>
        <v>14181.457500000002</v>
      </c>
      <c r="I74" s="58">
        <f>I32</f>
        <v>14890.530375000002</v>
      </c>
      <c r="J74" s="58">
        <f>J32</f>
        <v>15635.056893750003</v>
      </c>
      <c r="K74" s="58">
        <f>K32</f>
        <v>16416.809738437503</v>
      </c>
    </row>
    <row r="75" spans="3:13" ht="15" customHeight="1">
      <c r="C75" t="s">
        <v>70</v>
      </c>
      <c r="D75" s="39"/>
      <c r="E75" s="39"/>
      <c r="F75" s="39"/>
      <c r="G75" s="58">
        <f>-1*(SUM(G46:G48)-SUM(F46:F48))</f>
        <v>-4663</v>
      </c>
      <c r="H75" s="58">
        <f>-1*(SUM(H46:H48)-SUM(G46:G48))</f>
        <v>-4896.1500000000087</v>
      </c>
      <c r="I75" s="58">
        <f>-1*(SUM(I46:I48)-SUM(H46:H48))</f>
        <v>-5140.9575000000041</v>
      </c>
      <c r="J75" s="58">
        <f>-1*(SUM(J46:J48)-SUM(I46:I48))</f>
        <v>-5398.0053750000079</v>
      </c>
      <c r="K75" s="58">
        <f>-1*(SUM(K46:K48)-SUM(J46:J48))</f>
        <v>-5667.9056437500112</v>
      </c>
    </row>
    <row r="76" spans="3:13" ht="15" customHeight="1">
      <c r="C76" t="s">
        <v>71</v>
      </c>
      <c r="D76" s="39"/>
      <c r="E76" s="39"/>
      <c r="F76" s="39"/>
      <c r="G76" s="58">
        <f>SUM(G53:G55)-SUM(F53:F55)</f>
        <v>7265.1000000000349</v>
      </c>
      <c r="H76" s="58">
        <f>SUM(H53:H55)-SUM(G53:G55)</f>
        <v>7628.3549999999814</v>
      </c>
      <c r="I76" s="58">
        <f>SUM(I53:I55)-SUM(H53:H55)</f>
        <v>8009.7727500000037</v>
      </c>
      <c r="J76" s="58">
        <f>SUM(J53:J55)-SUM(I53:I55)</f>
        <v>8410.2613875000097</v>
      </c>
      <c r="K76" s="58">
        <f>SUM(K53:K55)-SUM(J53:J55)</f>
        <v>8830.7744568749913</v>
      </c>
    </row>
    <row r="77" spans="3:13" ht="15" customHeight="1">
      <c r="C77" t="s">
        <v>43</v>
      </c>
      <c r="G77" s="58">
        <f>-(G111)</f>
        <v>-8069.25</v>
      </c>
      <c r="H77" s="58">
        <f>-(H111)</f>
        <v>-8472.7125000000087</v>
      </c>
      <c r="I77" s="58">
        <f>-(I111)</f>
        <v>-8896.3481250000041</v>
      </c>
      <c r="J77" s="58">
        <f>-(J111)</f>
        <v>-9341.1655312500079</v>
      </c>
      <c r="K77" s="58">
        <f>-(K111)</f>
        <v>-9808.2238078125083</v>
      </c>
    </row>
    <row r="78" spans="3:13" ht="15" customHeight="1">
      <c r="C78" t="s">
        <v>50</v>
      </c>
      <c r="G78" s="58">
        <f>G58-F58</f>
        <v>2077.4500000000044</v>
      </c>
      <c r="H78" s="58">
        <f>H58-G58</f>
        <v>2181.322500000002</v>
      </c>
      <c r="I78" s="58">
        <f>I58-H58</f>
        <v>2290.3886249999996</v>
      </c>
      <c r="J78" s="58">
        <f>J58-I58</f>
        <v>2404.9080562500021</v>
      </c>
      <c r="K78" s="58">
        <f>K58-J58</f>
        <v>2525.1534590625015</v>
      </c>
      <c r="M78" s="24"/>
    </row>
    <row r="79" spans="3:13" ht="15" customHeight="1">
      <c r="C79" s="24" t="s">
        <v>72</v>
      </c>
      <c r="G79" s="63">
        <f ca="1">SUM(G72:G78)</f>
        <v>142070.3121907936</v>
      </c>
      <c r="H79" s="63">
        <f ca="1">SUM(H72:H78)</f>
        <v>150163.55914263485</v>
      </c>
      <c r="I79" s="63">
        <f ca="1">SUM(I72:I78)</f>
        <v>158875.93284493792</v>
      </c>
      <c r="J79" s="63">
        <f ca="1">SUM(J72:J78)</f>
        <v>168233.0539705914</v>
      </c>
      <c r="K79" s="63">
        <f ca="1">SUM(K72:K78)</f>
        <v>178274.17640327039</v>
      </c>
    </row>
    <row r="80" spans="3:13" ht="15" customHeight="1">
      <c r="G80" s="39"/>
      <c r="H80" s="39"/>
      <c r="I80" s="39"/>
      <c r="J80" s="39"/>
      <c r="K80" s="39"/>
    </row>
    <row r="81" spans="3:11" ht="15" customHeight="1">
      <c r="C81" t="s">
        <v>73</v>
      </c>
      <c r="G81" s="58">
        <f>-(G97)</f>
        <v>-13350.75</v>
      </c>
      <c r="H81" s="58">
        <f>-(H97)</f>
        <v>-14018.2875</v>
      </c>
      <c r="I81" s="58">
        <f>-(I97)</f>
        <v>-14719.201875000001</v>
      </c>
      <c r="J81" s="58">
        <f>-(J97)</f>
        <v>-15455.161968750001</v>
      </c>
      <c r="K81" s="58">
        <f>-(K97)</f>
        <v>-16227.920067187501</v>
      </c>
    </row>
    <row r="82" spans="3:11" ht="15" customHeight="1">
      <c r="C82" s="24" t="s">
        <v>74</v>
      </c>
      <c r="G82" s="63">
        <f>IFERROR(G81,"NA")</f>
        <v>-13350.75</v>
      </c>
      <c r="H82" s="63">
        <f>IFERROR(H81,"NA")</f>
        <v>-14018.2875</v>
      </c>
      <c r="I82" s="63">
        <f>IFERROR(I81,"NA")</f>
        <v>-14719.201875000001</v>
      </c>
      <c r="J82" s="63">
        <f>IFERROR(J81,"NA")</f>
        <v>-15455.161968750001</v>
      </c>
      <c r="K82" s="63">
        <f>IFERROR(K81,"NA")</f>
        <v>-16227.920067187501</v>
      </c>
    </row>
    <row r="83" spans="3:11" ht="15" customHeight="1">
      <c r="G83" s="39"/>
      <c r="H83" s="39"/>
      <c r="I83" s="39"/>
      <c r="J83" s="39"/>
      <c r="K83" s="39"/>
    </row>
    <row r="84" spans="3:11" ht="15" customHeight="1">
      <c r="C84" t="s">
        <v>75</v>
      </c>
      <c r="G84" s="58">
        <f>G57-F57</f>
        <v>0</v>
      </c>
      <c r="H84" s="58">
        <f>H57-G57</f>
        <v>0</v>
      </c>
      <c r="I84" s="58">
        <f>I57-H57</f>
        <v>0</v>
      </c>
      <c r="J84" s="58">
        <f>J57-I57</f>
        <v>0</v>
      </c>
      <c r="K84" s="58">
        <f>K57-J57</f>
        <v>0</v>
      </c>
    </row>
    <row r="85" spans="3:11" ht="15" customHeight="1">
      <c r="C85" t="s">
        <v>76</v>
      </c>
      <c r="G85" s="57">
        <f ca="1">G56-F56</f>
        <v>4021</v>
      </c>
      <c r="H85" s="57">
        <f ca="1">H56-G56</f>
        <v>0</v>
      </c>
      <c r="I85" s="57">
        <f ca="1">I56-H56</f>
        <v>0</v>
      </c>
      <c r="J85" s="57">
        <f ca="1">J56-I56</f>
        <v>0</v>
      </c>
      <c r="K85" s="57">
        <f ca="1">K56-J56</f>
        <v>0</v>
      </c>
    </row>
    <row r="86" spans="3:11" ht="15" customHeight="1">
      <c r="C86" t="s">
        <v>77</v>
      </c>
      <c r="G86" s="58">
        <f>G118</f>
        <v>-90052</v>
      </c>
      <c r="H86" s="58">
        <f>H118</f>
        <v>-90052</v>
      </c>
      <c r="I86" s="58">
        <f>I118</f>
        <v>-90052</v>
      </c>
      <c r="J86" s="58">
        <f>J118</f>
        <v>-90052</v>
      </c>
      <c r="K86" s="58">
        <f>K118</f>
        <v>-90052</v>
      </c>
    </row>
    <row r="87" spans="3:11" ht="15" customHeight="1">
      <c r="C87" t="s">
        <v>78</v>
      </c>
      <c r="G87" s="58">
        <f>G117</f>
        <v>-15413</v>
      </c>
      <c r="H87" s="58">
        <f>H117</f>
        <v>-15413</v>
      </c>
      <c r="I87" s="58">
        <f>I117</f>
        <v>-15413</v>
      </c>
      <c r="J87" s="58">
        <f>J117</f>
        <v>-15413</v>
      </c>
      <c r="K87" s="58">
        <f>K117</f>
        <v>-15413</v>
      </c>
    </row>
    <row r="88" spans="3:11" ht="15" customHeight="1">
      <c r="C88" s="24" t="s">
        <v>79</v>
      </c>
      <c r="G88" s="63">
        <f ca="1">SUM(G84:G87)</f>
        <v>-101444</v>
      </c>
      <c r="H88" s="63">
        <f ca="1">SUM(H84:H87)</f>
        <v>-105465</v>
      </c>
      <c r="I88" s="63">
        <f ca="1">SUM(I84:I87)</f>
        <v>-105465</v>
      </c>
      <c r="J88" s="63">
        <f ca="1">SUM(J84:J87)</f>
        <v>-105465</v>
      </c>
      <c r="K88" s="63">
        <f ca="1">SUM(K84:K87)</f>
        <v>-105465</v>
      </c>
    </row>
    <row r="89" spans="3:11" ht="15" customHeight="1">
      <c r="G89" s="39"/>
      <c r="H89" s="39"/>
      <c r="I89" s="39"/>
      <c r="J89" s="39"/>
      <c r="K89" s="39"/>
    </row>
    <row r="90" spans="3:11" ht="15" customHeight="1">
      <c r="C90" s="24" t="s">
        <v>80</v>
      </c>
      <c r="G90" s="63">
        <f ca="1">G79+G82+G88</f>
        <v>27275.5621907936</v>
      </c>
      <c r="H90" s="63">
        <f ca="1">H79+H82+H88</f>
        <v>30680.271642634849</v>
      </c>
      <c r="I90" s="63">
        <f ca="1">I79+I82+I88</f>
        <v>38691.730969937926</v>
      </c>
      <c r="J90" s="63">
        <f ca="1">J79+J82+J88</f>
        <v>47312.892001841392</v>
      </c>
      <c r="K90" s="63">
        <f ca="1">K79+K82+K88</f>
        <v>56581.256336082879</v>
      </c>
    </row>
    <row r="92" spans="3:11" ht="15" customHeight="1">
      <c r="C92" s="13" t="s">
        <v>81</v>
      </c>
      <c r="D92" s="14"/>
      <c r="E92" s="14"/>
      <c r="F92" s="14"/>
      <c r="G92" s="14"/>
      <c r="H92" s="14"/>
      <c r="I92" s="14"/>
      <c r="J92" s="14"/>
      <c r="K92" s="14"/>
    </row>
    <row r="93" spans="3:11" ht="15" customHeight="1">
      <c r="C93" s="33" t="str">
        <f t="shared" ref="C93:K93" si="13">C14</f>
        <v xml:space="preserve">Fiscal year  </v>
      </c>
      <c r="D93" s="34">
        <f t="shared" si="13"/>
        <v>2023</v>
      </c>
      <c r="E93" s="34">
        <f t="shared" si="13"/>
        <v>2024</v>
      </c>
      <c r="F93" s="34">
        <f t="shared" si="13"/>
        <v>2025</v>
      </c>
      <c r="G93" s="62">
        <f t="shared" si="13"/>
        <v>2026</v>
      </c>
      <c r="H93" s="62">
        <f t="shared" si="13"/>
        <v>2027</v>
      </c>
      <c r="I93" s="62">
        <f t="shared" si="13"/>
        <v>2028</v>
      </c>
      <c r="J93" s="62">
        <f t="shared" si="13"/>
        <v>2029</v>
      </c>
      <c r="K93" s="62">
        <f t="shared" si="13"/>
        <v>2030</v>
      </c>
    </row>
    <row r="94" spans="3:11" ht="15" customHeight="1">
      <c r="C94" s="14" t="str">
        <f t="shared" ref="C94:K94" si="14">C15</f>
        <v>Fiscal year end date</v>
      </c>
      <c r="D94" s="35">
        <f t="shared" si="14"/>
        <v>45199</v>
      </c>
      <c r="E94" s="35">
        <f t="shared" si="14"/>
        <v>45565</v>
      </c>
      <c r="F94" s="35">
        <f t="shared" si="14"/>
        <v>45927</v>
      </c>
      <c r="G94" s="35">
        <f t="shared" si="14"/>
        <v>46295</v>
      </c>
      <c r="H94" s="35">
        <f t="shared" si="14"/>
        <v>46660</v>
      </c>
      <c r="I94" s="35">
        <f t="shared" si="14"/>
        <v>47026</v>
      </c>
      <c r="J94" s="35">
        <f t="shared" si="14"/>
        <v>47391</v>
      </c>
      <c r="K94" s="35">
        <f t="shared" si="14"/>
        <v>47756</v>
      </c>
    </row>
    <row r="95" spans="3:11" ht="15" customHeight="1">
      <c r="C95" s="24"/>
      <c r="G95" s="108" t="s">
        <v>82</v>
      </c>
      <c r="H95" s="108"/>
      <c r="I95" s="108"/>
      <c r="J95" s="108"/>
      <c r="K95" s="108"/>
    </row>
    <row r="96" spans="3:11" ht="15" customHeight="1">
      <c r="C96" s="27" t="s">
        <v>83</v>
      </c>
      <c r="G96" s="58">
        <f>F99</f>
        <v>49834</v>
      </c>
      <c r="H96" s="58">
        <f>G99</f>
        <v>54517.735000000001</v>
      </c>
      <c r="I96" s="58">
        <f>H99</f>
        <v>59155.291000000005</v>
      </c>
      <c r="J96" s="58">
        <f>I99</f>
        <v>63730.340762500011</v>
      </c>
      <c r="K96" s="58">
        <f>J99</f>
        <v>68225.039773750017</v>
      </c>
    </row>
    <row r="97" spans="3:17" ht="15" customHeight="1">
      <c r="C97" s="26" t="s">
        <v>84</v>
      </c>
      <c r="D97" s="36">
        <v>10959</v>
      </c>
      <c r="E97" s="36">
        <v>9447</v>
      </c>
      <c r="F97" s="36">
        <v>12715</v>
      </c>
      <c r="G97" s="56">
        <f>F97*(1+G36)</f>
        <v>13350.75</v>
      </c>
      <c r="H97" s="56">
        <f>G97*(1+H36)</f>
        <v>14018.2875</v>
      </c>
      <c r="I97" s="56">
        <f>H97*(1+I36)</f>
        <v>14719.201875000001</v>
      </c>
      <c r="J97" s="36">
        <f>I97*(1+J36)</f>
        <v>15455.161968750001</v>
      </c>
      <c r="K97" s="36">
        <f>J97*(1+K36)</f>
        <v>16227.920067187501</v>
      </c>
    </row>
    <row r="98" spans="3:17" ht="15" customHeight="1">
      <c r="C98" s="64" t="s">
        <v>85</v>
      </c>
      <c r="D98" s="65">
        <v>-8500</v>
      </c>
      <c r="E98" s="65">
        <v>-8200</v>
      </c>
      <c r="F98" s="65">
        <v>-8000</v>
      </c>
      <c r="G98" s="66">
        <f>-(G101*G97)</f>
        <v>-8667.0149999999994</v>
      </c>
      <c r="H98" s="66">
        <f>-(H101*H97)</f>
        <v>-9380.7314999999999</v>
      </c>
      <c r="I98" s="66">
        <f>-(I101*I97)</f>
        <v>-10144.152112500002</v>
      </c>
      <c r="J98" s="66">
        <f>-(J101*J97)</f>
        <v>-10960.462957500002</v>
      </c>
      <c r="K98" s="66">
        <f>-(K101*K97)</f>
        <v>-11833.044506718752</v>
      </c>
    </row>
    <row r="99" spans="3:17" ht="15" customHeight="1">
      <c r="C99" s="67" t="s">
        <v>86</v>
      </c>
      <c r="D99" s="42"/>
      <c r="E99" s="42">
        <f>E49</f>
        <v>45680</v>
      </c>
      <c r="F99" s="42">
        <f>F49</f>
        <v>49834</v>
      </c>
      <c r="G99" s="63">
        <f>SUM(G96:G98)</f>
        <v>54517.735000000001</v>
      </c>
      <c r="H99" s="63">
        <f>SUM(H96:H98)</f>
        <v>59155.291000000005</v>
      </c>
      <c r="I99" s="63">
        <f>SUM(I96:I98)</f>
        <v>63730.340762500011</v>
      </c>
      <c r="J99" s="63">
        <f>SUM(J96:J98)</f>
        <v>68225.039773750017</v>
      </c>
      <c r="K99" s="63">
        <f>SUM(K96:K98)</f>
        <v>72619.915334218764</v>
      </c>
    </row>
    <row r="100" spans="3:17" ht="15" customHeight="1">
      <c r="C100" s="27"/>
      <c r="M100" s="29" t="s">
        <v>87</v>
      </c>
    </row>
    <row r="101" spans="3:17" ht="15" customHeight="1">
      <c r="C101" s="27" t="s">
        <v>88</v>
      </c>
      <c r="D101" s="68">
        <f>-(D98/D97)</f>
        <v>0.7756182133406333</v>
      </c>
      <c r="E101" s="68">
        <f>-(E98/E97)</f>
        <v>0.86800042341484074</v>
      </c>
      <c r="F101" s="68">
        <f>-(F98/F97)</f>
        <v>0.62917813605977191</v>
      </c>
      <c r="G101" s="69">
        <f>F101+$M$101</f>
        <v>0.64917813605977193</v>
      </c>
      <c r="H101" s="69">
        <f>G101+$M$101</f>
        <v>0.66917813605977194</v>
      </c>
      <c r="I101" s="69">
        <f>H101+$M$101</f>
        <v>0.68917813605977196</v>
      </c>
      <c r="J101" s="69">
        <f>I101+$M$101</f>
        <v>0.70917813605977198</v>
      </c>
      <c r="K101" s="69">
        <f>J101+$M$101</f>
        <v>0.729178136059772</v>
      </c>
      <c r="M101" s="70">
        <v>0.02</v>
      </c>
      <c r="O101" s="71"/>
      <c r="P101" s="71"/>
      <c r="Q101" s="71"/>
    </row>
    <row r="102" spans="3:17" ht="15" customHeight="1">
      <c r="C102" s="27"/>
      <c r="D102" s="68"/>
      <c r="E102" s="68"/>
      <c r="F102" s="68"/>
      <c r="G102" s="60"/>
      <c r="H102" s="60"/>
      <c r="I102" s="60"/>
      <c r="J102" s="60"/>
      <c r="K102" s="60"/>
      <c r="O102" s="71"/>
      <c r="P102" s="71"/>
      <c r="Q102" s="71"/>
    </row>
    <row r="103" spans="3:17" ht="15" customHeight="1">
      <c r="C103" s="72" t="s">
        <v>89</v>
      </c>
      <c r="D103" s="73"/>
      <c r="E103" s="73"/>
      <c r="F103" s="73"/>
      <c r="G103" s="74"/>
      <c r="H103" s="74"/>
      <c r="I103" s="74"/>
      <c r="J103" s="74"/>
      <c r="K103" s="74"/>
      <c r="O103" s="71"/>
      <c r="P103" s="71"/>
      <c r="Q103" s="71"/>
    </row>
    <row r="104" spans="3:17" ht="15" customHeight="1">
      <c r="C104" s="27" t="s">
        <v>90</v>
      </c>
      <c r="D104" s="39">
        <f>D106+D98</f>
        <v>3019</v>
      </c>
      <c r="E104" s="39">
        <f>E106+E98</f>
        <v>3245</v>
      </c>
      <c r="F104" s="39">
        <f>F106+F98</f>
        <v>3698</v>
      </c>
      <c r="G104" s="55">
        <f>G105*G17</f>
        <v>3882.9</v>
      </c>
      <c r="H104" s="55">
        <f>H105*H17</f>
        <v>4077.0450000000001</v>
      </c>
      <c r="I104" s="55">
        <f>I105*I17</f>
        <v>4280.8972500000009</v>
      </c>
      <c r="J104" s="55">
        <f>J105*J17</f>
        <v>4494.9421125000008</v>
      </c>
      <c r="K104" s="55">
        <f>K105*K17</f>
        <v>4719.6892181250005</v>
      </c>
      <c r="O104" s="71"/>
      <c r="P104" s="71"/>
      <c r="Q104" s="71"/>
    </row>
    <row r="105" spans="3:17" ht="15" customHeight="1">
      <c r="C105" s="26" t="s">
        <v>91</v>
      </c>
      <c r="D105" s="48">
        <f>D104/D17</f>
        <v>7.8766453161485585E-3</v>
      </c>
      <c r="E105" s="48">
        <f>E104/E17</f>
        <v>8.2984899049957164E-3</v>
      </c>
      <c r="F105" s="48">
        <f>F104/F17</f>
        <v>8.8859840302190733E-3</v>
      </c>
      <c r="G105" s="69">
        <f>F105</f>
        <v>8.8859840302190733E-3</v>
      </c>
      <c r="H105" s="69">
        <f>G105</f>
        <v>8.8859840302190733E-3</v>
      </c>
      <c r="I105" s="69">
        <f>H105</f>
        <v>8.8859840302190733E-3</v>
      </c>
      <c r="J105" s="69">
        <f>I105</f>
        <v>8.8859840302190733E-3</v>
      </c>
      <c r="K105" s="69">
        <f>J105</f>
        <v>8.8859840302190733E-3</v>
      </c>
      <c r="O105" s="71"/>
      <c r="P105" s="71"/>
      <c r="Q105" s="71"/>
    </row>
    <row r="106" spans="3:17" ht="15" customHeight="1">
      <c r="C106" s="28" t="s">
        <v>92</v>
      </c>
      <c r="D106" s="42">
        <f>D30</f>
        <v>11519</v>
      </c>
      <c r="E106" s="42">
        <f>E30</f>
        <v>11445</v>
      </c>
      <c r="F106" s="42">
        <f>F30</f>
        <v>11698</v>
      </c>
      <c r="G106" s="25">
        <f>-G98+G104</f>
        <v>12549.914999999999</v>
      </c>
      <c r="H106" s="25">
        <f>-H98+H104</f>
        <v>13457.7765</v>
      </c>
      <c r="I106" s="25">
        <f>-I98+I104</f>
        <v>14425.049362500002</v>
      </c>
      <c r="J106" s="25">
        <f>-J98+J104</f>
        <v>15455.405070000003</v>
      </c>
      <c r="K106" s="25">
        <f>-K98+K104</f>
        <v>16552.733724843754</v>
      </c>
      <c r="O106" s="71"/>
      <c r="P106" s="71"/>
      <c r="Q106" s="71"/>
    </row>
    <row r="107" spans="3:17" ht="15" customHeight="1">
      <c r="C107" s="27"/>
      <c r="D107" s="39"/>
      <c r="E107" s="39"/>
      <c r="F107" s="39"/>
      <c r="H107" s="39"/>
      <c r="I107" s="39"/>
      <c r="J107" s="39"/>
      <c r="K107" s="39"/>
    </row>
    <row r="108" spans="3:17" ht="15" customHeight="1">
      <c r="C108" s="75" t="s">
        <v>93</v>
      </c>
      <c r="D108" s="14"/>
      <c r="E108" s="14"/>
      <c r="F108" s="14"/>
      <c r="H108" s="39"/>
      <c r="I108" s="39"/>
      <c r="J108" s="39"/>
      <c r="K108" s="39"/>
    </row>
    <row r="109" spans="3:17" ht="15" customHeight="1">
      <c r="C109" s="27" t="s">
        <v>83</v>
      </c>
      <c r="D109" s="39"/>
      <c r="G109" s="76">
        <f>F112</f>
        <v>83727</v>
      </c>
      <c r="H109" s="76">
        <f>G112</f>
        <v>87913.35</v>
      </c>
      <c r="I109" s="76">
        <f>H112</f>
        <v>92309.017500000016</v>
      </c>
      <c r="J109" s="76">
        <f>I112</f>
        <v>96924.468375000026</v>
      </c>
      <c r="K109" s="76">
        <f>J112</f>
        <v>101770.69179375003</v>
      </c>
    </row>
    <row r="110" spans="3:17" ht="15" customHeight="1">
      <c r="C110" s="26" t="s">
        <v>94</v>
      </c>
      <c r="G110" s="39">
        <f>-(G104)</f>
        <v>-3882.9</v>
      </c>
      <c r="H110" s="39">
        <f>-(H104)</f>
        <v>-4077.0450000000001</v>
      </c>
      <c r="I110" s="39">
        <f>-(I104)</f>
        <v>-4280.8972500000009</v>
      </c>
      <c r="J110" s="39">
        <f>-(J104)</f>
        <v>-4494.9421125000008</v>
      </c>
      <c r="K110" s="39">
        <f>-(K104)</f>
        <v>-4719.6892181250005</v>
      </c>
    </row>
    <row r="111" spans="3:17" ht="15" customHeight="1">
      <c r="C111" s="64" t="s">
        <v>95</v>
      </c>
      <c r="D111" s="77"/>
      <c r="E111" s="77"/>
      <c r="F111" s="77"/>
      <c r="G111" s="78">
        <f>G112-G110-G109</f>
        <v>8069.25</v>
      </c>
      <c r="H111" s="78">
        <f>H112-H110-H109</f>
        <v>8472.7125000000087</v>
      </c>
      <c r="I111" s="78">
        <f>I112-I110-I109</f>
        <v>8896.3481250000041</v>
      </c>
      <c r="J111" s="78">
        <f>J112-J110-J109</f>
        <v>9341.1655312500079</v>
      </c>
      <c r="K111" s="78">
        <f>K112-K110-K109</f>
        <v>9808.2238078125083</v>
      </c>
    </row>
    <row r="112" spans="3:17" ht="15" customHeight="1">
      <c r="C112" s="67" t="s">
        <v>86</v>
      </c>
      <c r="E112" s="42">
        <f t="shared" ref="E112:K112" si="15">E50</f>
        <v>74834</v>
      </c>
      <c r="F112" s="42">
        <f t="shared" si="15"/>
        <v>83727</v>
      </c>
      <c r="G112" s="42">
        <f t="shared" si="15"/>
        <v>87913.35</v>
      </c>
      <c r="H112" s="42">
        <f t="shared" si="15"/>
        <v>92309.017500000016</v>
      </c>
      <c r="I112" s="42">
        <f t="shared" si="15"/>
        <v>96924.468375000026</v>
      </c>
      <c r="J112" s="42">
        <f t="shared" si="15"/>
        <v>101770.69179375003</v>
      </c>
      <c r="K112" s="42">
        <f t="shared" si="15"/>
        <v>106859.22638343753</v>
      </c>
    </row>
    <row r="113" spans="3:17" ht="15" customHeight="1">
      <c r="C113" s="26"/>
      <c r="E113" s="39"/>
      <c r="F113" s="39"/>
      <c r="H113" s="39"/>
      <c r="I113" s="39"/>
      <c r="J113" s="39"/>
      <c r="K113" s="39"/>
    </row>
    <row r="114" spans="3:17" ht="15" customHeight="1">
      <c r="C114" s="79" t="s">
        <v>96</v>
      </c>
      <c r="D114" s="75"/>
      <c r="E114" s="75"/>
      <c r="F114" s="75"/>
      <c r="G114" s="14"/>
      <c r="H114" s="14"/>
      <c r="I114" s="14"/>
      <c r="J114" s="14"/>
      <c r="K114" s="14"/>
    </row>
    <row r="115" spans="3:17" ht="15" customHeight="1">
      <c r="C115" s="27" t="s">
        <v>83</v>
      </c>
      <c r="G115" s="58">
        <f>F119</f>
        <v>-14264</v>
      </c>
      <c r="H115" s="58">
        <f ca="1">G119</f>
        <v>-325.05280920643418</v>
      </c>
      <c r="I115" s="58">
        <f ca="1">H119</f>
        <v>20293.457333428451</v>
      </c>
      <c r="J115" s="58">
        <f ca="1">I119</f>
        <v>48125.954690866405</v>
      </c>
      <c r="K115" s="58">
        <f ca="1">J119</f>
        <v>83727.548160207807</v>
      </c>
    </row>
    <row r="116" spans="3:17" ht="15" customHeight="1">
      <c r="C116" s="26" t="s">
        <v>97</v>
      </c>
      <c r="D116" s="41">
        <f t="shared" ref="D116:K116" si="16">D28</f>
        <v>96995</v>
      </c>
      <c r="E116" s="41">
        <f t="shared" si="16"/>
        <v>93736</v>
      </c>
      <c r="F116" s="41">
        <f t="shared" si="16"/>
        <v>112010</v>
      </c>
      <c r="G116" s="58">
        <f t="shared" ca="1" si="16"/>
        <v>119403.94719079357</v>
      </c>
      <c r="H116" s="58">
        <f t="shared" ca="1" si="16"/>
        <v>126083.51014263488</v>
      </c>
      <c r="I116" s="58">
        <f t="shared" ca="1" si="16"/>
        <v>133297.49735743797</v>
      </c>
      <c r="J116" s="58">
        <f t="shared" ca="1" si="16"/>
        <v>141066.5934693414</v>
      </c>
      <c r="K116" s="58">
        <f t="shared" ca="1" si="16"/>
        <v>149424.83447561416</v>
      </c>
    </row>
    <row r="117" spans="3:17" ht="15" customHeight="1">
      <c r="C117" s="26" t="s">
        <v>98</v>
      </c>
      <c r="D117" s="36">
        <v>-14996</v>
      </c>
      <c r="E117" s="36">
        <v>-15218</v>
      </c>
      <c r="F117" s="36">
        <v>-15413</v>
      </c>
      <c r="G117" s="58">
        <f t="shared" ref="G117:K118" si="17">F117</f>
        <v>-15413</v>
      </c>
      <c r="H117" s="58">
        <f t="shared" si="17"/>
        <v>-15413</v>
      </c>
      <c r="I117" s="58">
        <f t="shared" si="17"/>
        <v>-15413</v>
      </c>
      <c r="J117" s="58">
        <f t="shared" si="17"/>
        <v>-15413</v>
      </c>
      <c r="K117" s="58">
        <f t="shared" si="17"/>
        <v>-15413</v>
      </c>
    </row>
    <row r="118" spans="3:17" ht="15" customHeight="1">
      <c r="C118" s="64" t="s">
        <v>99</v>
      </c>
      <c r="D118" s="65">
        <v>-77046</v>
      </c>
      <c r="E118" s="65">
        <v>-95846</v>
      </c>
      <c r="F118" s="65">
        <v>-90052</v>
      </c>
      <c r="G118" s="66">
        <f t="shared" si="17"/>
        <v>-90052</v>
      </c>
      <c r="H118" s="66">
        <f t="shared" si="17"/>
        <v>-90052</v>
      </c>
      <c r="I118" s="66">
        <f t="shared" si="17"/>
        <v>-90052</v>
      </c>
      <c r="J118" s="66">
        <f t="shared" si="17"/>
        <v>-90052</v>
      </c>
      <c r="K118" s="66">
        <f t="shared" si="17"/>
        <v>-90052</v>
      </c>
    </row>
    <row r="119" spans="3:17" ht="15" customHeight="1">
      <c r="C119" s="67" t="s">
        <v>86</v>
      </c>
      <c r="D119" s="38">
        <f>D62</f>
        <v>0</v>
      </c>
      <c r="E119" s="38">
        <f>E62</f>
        <v>-19154</v>
      </c>
      <c r="F119" s="38">
        <f>F62</f>
        <v>-14264</v>
      </c>
      <c r="G119" s="63">
        <f ca="1">SUM(G115:G118)</f>
        <v>-325.05280920643418</v>
      </c>
      <c r="H119" s="63">
        <f ca="1">SUM(H115:H118)</f>
        <v>20293.457333428451</v>
      </c>
      <c r="I119" s="63">
        <f ca="1">SUM(I115:I118)</f>
        <v>48125.954690866405</v>
      </c>
      <c r="J119" s="63">
        <f ca="1">SUM(J115:J118)</f>
        <v>83727.548160207807</v>
      </c>
      <c r="K119" s="63">
        <f ca="1">SUM(K115:K118)</f>
        <v>127687.38263582197</v>
      </c>
    </row>
    <row r="120" spans="3:17" ht="15" customHeight="1">
      <c r="E120" s="37"/>
      <c r="F120" s="37"/>
    </row>
    <row r="121" spans="3:17" ht="15" customHeight="1">
      <c r="C121" s="13" t="s">
        <v>100</v>
      </c>
      <c r="D121" s="14"/>
      <c r="E121" s="14"/>
      <c r="F121" s="14"/>
      <c r="G121" s="14"/>
      <c r="H121" s="14"/>
      <c r="I121" s="14"/>
      <c r="J121" s="14"/>
      <c r="K121" s="14"/>
      <c r="O121" s="71"/>
      <c r="P121" s="71"/>
    </row>
    <row r="122" spans="3:17" ht="15" customHeight="1">
      <c r="C122" s="33" t="str">
        <f t="shared" ref="C122:K122" si="18">C14</f>
        <v xml:space="preserve">Fiscal year  </v>
      </c>
      <c r="D122" s="34">
        <f t="shared" si="18"/>
        <v>2023</v>
      </c>
      <c r="E122" s="34">
        <f t="shared" si="18"/>
        <v>2024</v>
      </c>
      <c r="F122" s="34">
        <f t="shared" si="18"/>
        <v>2025</v>
      </c>
      <c r="G122" s="62">
        <f t="shared" si="18"/>
        <v>2026</v>
      </c>
      <c r="H122" s="62">
        <f t="shared" si="18"/>
        <v>2027</v>
      </c>
      <c r="I122" s="62">
        <f t="shared" si="18"/>
        <v>2028</v>
      </c>
      <c r="J122" s="62">
        <f t="shared" si="18"/>
        <v>2029</v>
      </c>
      <c r="K122" s="62">
        <f t="shared" si="18"/>
        <v>2030</v>
      </c>
      <c r="O122" s="71"/>
      <c r="P122" s="71"/>
    </row>
    <row r="123" spans="3:17" ht="15" customHeight="1">
      <c r="C123" s="14" t="str">
        <f t="shared" ref="C123:K123" si="19">C15</f>
        <v>Fiscal year end date</v>
      </c>
      <c r="D123" s="35">
        <f t="shared" si="19"/>
        <v>45199</v>
      </c>
      <c r="E123" s="35">
        <f t="shared" si="19"/>
        <v>45565</v>
      </c>
      <c r="F123" s="35">
        <f t="shared" si="19"/>
        <v>45927</v>
      </c>
      <c r="G123" s="35">
        <f t="shared" si="19"/>
        <v>46295</v>
      </c>
      <c r="H123" s="35">
        <f t="shared" si="19"/>
        <v>46660</v>
      </c>
      <c r="I123" s="35">
        <f t="shared" si="19"/>
        <v>47026</v>
      </c>
      <c r="J123" s="35">
        <f t="shared" si="19"/>
        <v>47391</v>
      </c>
      <c r="K123" s="35">
        <f t="shared" si="19"/>
        <v>47756</v>
      </c>
      <c r="O123" s="71"/>
      <c r="P123" s="71"/>
    </row>
    <row r="124" spans="3:17" ht="15" customHeight="1">
      <c r="C124" s="24"/>
      <c r="O124" s="71"/>
      <c r="P124" s="71"/>
    </row>
    <row r="125" spans="3:17" ht="15" customHeight="1">
      <c r="C125" s="29" t="s">
        <v>101</v>
      </c>
      <c r="O125" s="71"/>
      <c r="P125" s="71"/>
      <c r="Q125" s="71"/>
    </row>
    <row r="126" spans="3:17" ht="15" customHeight="1">
      <c r="C126" s="26" t="s">
        <v>102</v>
      </c>
      <c r="G126" s="57">
        <f>F45</f>
        <v>132420</v>
      </c>
      <c r="H126" s="57">
        <f ca="1">G45</f>
        <v>159695.5621907936</v>
      </c>
      <c r="I126" s="57">
        <f ca="1">H45</f>
        <v>190375.83383342845</v>
      </c>
      <c r="J126" s="57">
        <f ca="1">I45</f>
        <v>229067.56480336637</v>
      </c>
      <c r="K126" s="57">
        <f ca="1">J45</f>
        <v>276380.45680520777</v>
      </c>
      <c r="O126" s="71"/>
      <c r="P126" s="71"/>
    </row>
    <row r="127" spans="3:17" ht="15" customHeight="1">
      <c r="C127" s="26" t="s">
        <v>103</v>
      </c>
      <c r="G127" s="36">
        <v>-50000</v>
      </c>
      <c r="H127" s="36">
        <v>-50000</v>
      </c>
      <c r="I127" s="36">
        <v>-50000</v>
      </c>
      <c r="J127" s="36">
        <v>-50000</v>
      </c>
      <c r="K127" s="36">
        <v>-50000</v>
      </c>
      <c r="O127" s="71"/>
      <c r="P127" s="71"/>
    </row>
    <row r="128" spans="3:17" ht="15" customHeight="1">
      <c r="C128" s="64" t="s">
        <v>104</v>
      </c>
      <c r="D128" s="77"/>
      <c r="E128" s="77"/>
      <c r="F128" s="77"/>
      <c r="G128" s="80">
        <f ca="1">SUM(G79,G82,G84,G86,G87)</f>
        <v>23254.5621907936</v>
      </c>
      <c r="H128" s="80">
        <f ca="1">SUM(H79,H82,H84,H86,H87)</f>
        <v>30680.271642634849</v>
      </c>
      <c r="I128" s="80">
        <f ca="1">SUM(I79,I82,I84,I86,I87)</f>
        <v>38691.730969937926</v>
      </c>
      <c r="J128" s="80">
        <f ca="1">SUM(J79,J82,J84,J86,J87)</f>
        <v>47312.892001841392</v>
      </c>
      <c r="K128" s="80">
        <f ca="1">SUM(K79,K82,K84,K86,K87)</f>
        <v>56581.256336082879</v>
      </c>
    </row>
    <row r="129" spans="3:19" ht="15" customHeight="1">
      <c r="C129" s="67" t="s">
        <v>105</v>
      </c>
      <c r="G129" s="81">
        <f ca="1">SUM(G126:G128)</f>
        <v>105674.5621907936</v>
      </c>
      <c r="H129" s="81">
        <f ca="1">SUM(H126:H128)</f>
        <v>140375.83383342845</v>
      </c>
      <c r="I129" s="81">
        <f ca="1">SUM(I126:I128)</f>
        <v>179067.56480336637</v>
      </c>
      <c r="J129" s="81">
        <f ca="1">SUM(J126:J128)</f>
        <v>226380.45680520777</v>
      </c>
      <c r="K129" s="81">
        <f ca="1">SUM(K126:K128)</f>
        <v>282961.71314129065</v>
      </c>
    </row>
    <row r="131" spans="3:19" ht="15" customHeight="1">
      <c r="C131" s="24" t="s">
        <v>106</v>
      </c>
    </row>
    <row r="132" spans="3:19" ht="15" customHeight="1">
      <c r="C132" s="26" t="s">
        <v>83</v>
      </c>
      <c r="G132" s="57">
        <f>F135</f>
        <v>7979</v>
      </c>
      <c r="H132" s="57">
        <f ca="1">G135</f>
        <v>12000</v>
      </c>
      <c r="I132" s="57">
        <f ca="1">H135</f>
        <v>12000</v>
      </c>
      <c r="J132" s="57">
        <f ca="1">I135</f>
        <v>12000</v>
      </c>
      <c r="K132" s="57">
        <f ca="1">J135</f>
        <v>12000</v>
      </c>
    </row>
    <row r="133" spans="3:19" ht="15" customHeight="1">
      <c r="C133" s="26" t="s">
        <v>107</v>
      </c>
      <c r="G133" s="57">
        <f ca="1">-MIN(G129,G132)</f>
        <v>-7979</v>
      </c>
      <c r="H133" s="57">
        <f ca="1">-MIN(H129,H132)</f>
        <v>-12000</v>
      </c>
      <c r="I133" s="57">
        <f ca="1">-MIN(I129,I132)</f>
        <v>-12000</v>
      </c>
      <c r="J133" s="57">
        <f ca="1">-MIN(J129,J132)</f>
        <v>-12000</v>
      </c>
      <c r="K133" s="57">
        <f ca="1">-MIN(K129,K132)</f>
        <v>-12000</v>
      </c>
    </row>
    <row r="134" spans="3:19" ht="15" customHeight="1">
      <c r="C134" s="64" t="s">
        <v>108</v>
      </c>
      <c r="D134" s="77"/>
      <c r="E134" s="77"/>
      <c r="F134" s="77"/>
      <c r="G134" s="65">
        <v>12000</v>
      </c>
      <c r="H134" s="65">
        <v>12000</v>
      </c>
      <c r="I134" s="65">
        <v>12000</v>
      </c>
      <c r="J134" s="65">
        <v>12000</v>
      </c>
      <c r="K134" s="65">
        <v>12000</v>
      </c>
    </row>
    <row r="135" spans="3:19" ht="15" customHeight="1">
      <c r="C135" s="26" t="s">
        <v>86</v>
      </c>
      <c r="D135" s="82">
        <f>D56</f>
        <v>0</v>
      </c>
      <c r="E135" s="82">
        <f>E56</f>
        <v>9967</v>
      </c>
      <c r="F135" s="82">
        <f>F56</f>
        <v>7979</v>
      </c>
      <c r="G135" s="83">
        <f ca="1">SUM(G132:G134)</f>
        <v>12000</v>
      </c>
      <c r="H135" s="83">
        <f ca="1">SUM(H132:H134)</f>
        <v>12000</v>
      </c>
      <c r="I135" s="83">
        <f ca="1">SUM(I132:I134)</f>
        <v>12000</v>
      </c>
      <c r="J135" s="83">
        <f ca="1">SUM(J132:J134)</f>
        <v>12000</v>
      </c>
      <c r="K135" s="83">
        <f ca="1">SUM(K132:K134)</f>
        <v>12000</v>
      </c>
    </row>
    <row r="136" spans="3:19" ht="15" customHeight="1">
      <c r="C136" s="84" t="s">
        <v>109</v>
      </c>
      <c r="D136" s="85"/>
      <c r="E136" s="85"/>
      <c r="F136" s="86"/>
      <c r="G136" s="87" t="str">
        <f ca="1">IF(G135&lt;0,"Negative Debt","OK")</f>
        <v>OK</v>
      </c>
      <c r="H136" s="87" t="str">
        <f ca="1">IF(H135&lt;0,"Negative Debt","OK")</f>
        <v>OK</v>
      </c>
      <c r="I136" s="87" t="str">
        <f ca="1">IF(I135&lt;0,"Negative Debt","OK")</f>
        <v>OK</v>
      </c>
      <c r="J136" s="87" t="str">
        <f ca="1">IF(J135&lt;0,"Negative Debt","OK")</f>
        <v>OK</v>
      </c>
      <c r="K136" s="88" t="str">
        <f ca="1">IF(K135&lt;0,"Negative Debt","OK")</f>
        <v>OK</v>
      </c>
      <c r="S136" s="37"/>
    </row>
    <row r="137" spans="3:19" ht="15" customHeight="1">
      <c r="D137" s="39"/>
      <c r="E137" s="39"/>
      <c r="F137" s="89"/>
      <c r="G137" s="90"/>
      <c r="H137" s="90"/>
      <c r="I137" s="90"/>
      <c r="J137" s="90"/>
      <c r="K137" s="90"/>
      <c r="S137" s="37"/>
    </row>
    <row r="138" spans="3:19" ht="15" customHeight="1">
      <c r="C138" s="13" t="s">
        <v>110</v>
      </c>
      <c r="D138" s="73"/>
      <c r="E138" s="73"/>
      <c r="F138" s="73"/>
      <c r="G138" s="91"/>
      <c r="H138" s="91"/>
      <c r="I138" s="91"/>
      <c r="J138" s="91"/>
      <c r="K138" s="91"/>
      <c r="R138" s="92"/>
    </row>
    <row r="139" spans="3:19" ht="15" customHeight="1">
      <c r="C139" s="33" t="str">
        <f t="shared" ref="C139:K139" si="20">C14</f>
        <v xml:space="preserve">Fiscal year  </v>
      </c>
      <c r="D139" s="34">
        <f t="shared" si="20"/>
        <v>2023</v>
      </c>
      <c r="E139" s="34">
        <f t="shared" si="20"/>
        <v>2024</v>
      </c>
      <c r="F139" s="34">
        <f t="shared" si="20"/>
        <v>2025</v>
      </c>
      <c r="G139" s="62">
        <f t="shared" si="20"/>
        <v>2026</v>
      </c>
      <c r="H139" s="62">
        <f t="shared" si="20"/>
        <v>2027</v>
      </c>
      <c r="I139" s="62">
        <f t="shared" si="20"/>
        <v>2028</v>
      </c>
      <c r="J139" s="62">
        <f t="shared" si="20"/>
        <v>2029</v>
      </c>
      <c r="K139" s="62">
        <f t="shared" si="20"/>
        <v>2030</v>
      </c>
      <c r="R139" s="92"/>
      <c r="S139" s="37"/>
    </row>
    <row r="140" spans="3:19" ht="15" customHeight="1">
      <c r="C140" s="14" t="str">
        <f t="shared" ref="C140:K140" si="21">C15</f>
        <v>Fiscal year end date</v>
      </c>
      <c r="D140" s="35">
        <f t="shared" si="21"/>
        <v>45199</v>
      </c>
      <c r="E140" s="35">
        <f t="shared" si="21"/>
        <v>45565</v>
      </c>
      <c r="F140" s="35">
        <f t="shared" si="21"/>
        <v>45927</v>
      </c>
      <c r="G140" s="35">
        <f t="shared" si="21"/>
        <v>46295</v>
      </c>
      <c r="H140" s="35">
        <f t="shared" si="21"/>
        <v>46660</v>
      </c>
      <c r="I140" s="35">
        <f t="shared" si="21"/>
        <v>47026</v>
      </c>
      <c r="J140" s="35">
        <f t="shared" si="21"/>
        <v>47391</v>
      </c>
      <c r="K140" s="35">
        <f t="shared" si="21"/>
        <v>47756</v>
      </c>
      <c r="R140" s="92"/>
    </row>
    <row r="141" spans="3:19" ht="15" customHeight="1">
      <c r="C141" s="26"/>
      <c r="D141" s="39"/>
      <c r="E141" s="39"/>
      <c r="F141" s="39"/>
      <c r="G141" s="93"/>
      <c r="H141" s="93"/>
      <c r="I141" s="93"/>
      <c r="J141" s="93"/>
      <c r="K141" s="93"/>
      <c r="R141" s="92"/>
    </row>
    <row r="142" spans="3:19" ht="15" customHeight="1">
      <c r="C142" s="27" t="s">
        <v>111</v>
      </c>
      <c r="D142" s="39">
        <f>-(D24)</f>
        <v>0</v>
      </c>
      <c r="E142" s="39">
        <f>-(E24)</f>
        <v>0</v>
      </c>
      <c r="F142" s="39">
        <f>-(F24)</f>
        <v>0</v>
      </c>
      <c r="G142" s="57">
        <f ca="1">G147+G152</f>
        <v>3002.8830500000004</v>
      </c>
      <c r="H142" s="57">
        <f ca="1">H147+H152</f>
        <v>3087.1230000000005</v>
      </c>
      <c r="I142" s="57">
        <f ca="1">I147+I152</f>
        <v>3087.1230000000005</v>
      </c>
      <c r="J142" s="57">
        <f ca="1">J147+J152</f>
        <v>3087.1230000000005</v>
      </c>
      <c r="K142" s="57">
        <f ca="1">K147+K152</f>
        <v>3087.1230000000005</v>
      </c>
      <c r="R142" s="37"/>
    </row>
    <row r="143" spans="3:19" ht="15" customHeight="1">
      <c r="C143" s="94"/>
      <c r="R143" s="37"/>
    </row>
    <row r="144" spans="3:19" ht="15" customHeight="1">
      <c r="C144" s="95" t="s">
        <v>112</v>
      </c>
      <c r="R144" s="37"/>
    </row>
    <row r="145" spans="3:18" ht="15" customHeight="1">
      <c r="C145" s="26" t="s">
        <v>113</v>
      </c>
      <c r="E145" s="96">
        <v>0.05</v>
      </c>
      <c r="F145" s="96">
        <v>4.19E-2</v>
      </c>
      <c r="G145" s="97">
        <f>F145</f>
        <v>4.19E-2</v>
      </c>
      <c r="H145" s="97">
        <f>G145</f>
        <v>4.19E-2</v>
      </c>
      <c r="I145" s="97">
        <f>H145</f>
        <v>4.19E-2</v>
      </c>
      <c r="J145" s="97">
        <f>I145</f>
        <v>4.19E-2</v>
      </c>
      <c r="K145" s="97">
        <f>J145</f>
        <v>4.19E-2</v>
      </c>
    </row>
    <row r="146" spans="3:18" ht="15" customHeight="1">
      <c r="C146" s="26" t="s">
        <v>114</v>
      </c>
      <c r="D146" s="82"/>
      <c r="E146" s="82">
        <f t="shared" ref="E146:K146" si="22">E56</f>
        <v>9967</v>
      </c>
      <c r="F146" s="82">
        <f t="shared" si="22"/>
        <v>7979</v>
      </c>
      <c r="G146" s="57">
        <f t="shared" ca="1" si="22"/>
        <v>12000</v>
      </c>
      <c r="H146" s="57">
        <f t="shared" ca="1" si="22"/>
        <v>12000</v>
      </c>
      <c r="I146" s="57">
        <f t="shared" ca="1" si="22"/>
        <v>12000</v>
      </c>
      <c r="J146" s="57">
        <f t="shared" ca="1" si="22"/>
        <v>12000</v>
      </c>
      <c r="K146" s="57">
        <f t="shared" ca="1" si="22"/>
        <v>12000</v>
      </c>
    </row>
    <row r="147" spans="3:18" ht="15" customHeight="1">
      <c r="C147" s="98" t="s">
        <v>115</v>
      </c>
      <c r="D147" s="39"/>
      <c r="E147" s="42">
        <f>AVERAGE(D146:E146)*E145</f>
        <v>498.35</v>
      </c>
      <c r="F147" s="42">
        <f>AVERAGE(E146:F146)*F145</f>
        <v>375.96870000000001</v>
      </c>
      <c r="G147" s="99">
        <f ca="1">IF($D$7=1,AVERAGE(F146,G146)*G145,0)</f>
        <v>418.56004999999999</v>
      </c>
      <c r="H147" s="99">
        <f ca="1">IF($D$7=1,AVERAGE(G146,H146)*H145,0)</f>
        <v>502.8</v>
      </c>
      <c r="I147" s="99">
        <f ca="1">IF($D$7=1,AVERAGE(H146,I146)*I145,0)</f>
        <v>502.8</v>
      </c>
      <c r="J147" s="99">
        <f ca="1">IF($D$7=1,AVERAGE(I146,J146)*J145,0)</f>
        <v>502.8</v>
      </c>
      <c r="K147" s="99">
        <f ca="1">IF($D$7=1,AVERAGE(J146,K146)*K145,0)</f>
        <v>502.8</v>
      </c>
    </row>
    <row r="148" spans="3:18" ht="15" customHeight="1">
      <c r="C148" s="100"/>
      <c r="D148" s="39"/>
      <c r="E148" s="39"/>
      <c r="F148" s="39"/>
    </row>
    <row r="149" spans="3:18" ht="15" customHeight="1">
      <c r="C149" s="95" t="s">
        <v>75</v>
      </c>
      <c r="D149" s="39"/>
      <c r="E149" s="39"/>
      <c r="F149" s="39"/>
    </row>
    <row r="150" spans="3:18" ht="15" customHeight="1">
      <c r="C150" s="26" t="s">
        <v>114</v>
      </c>
      <c r="D150" s="39"/>
      <c r="E150" s="39">
        <f t="shared" ref="E150:K150" si="23">E57</f>
        <v>96662</v>
      </c>
      <c r="F150" s="39">
        <f t="shared" si="23"/>
        <v>90678</v>
      </c>
      <c r="G150" s="57">
        <f t="shared" si="23"/>
        <v>90678</v>
      </c>
      <c r="H150" s="57">
        <f t="shared" si="23"/>
        <v>90678</v>
      </c>
      <c r="I150" s="57">
        <f t="shared" si="23"/>
        <v>90678</v>
      </c>
      <c r="J150" s="57">
        <f t="shared" si="23"/>
        <v>90678</v>
      </c>
      <c r="K150" s="57">
        <f t="shared" si="23"/>
        <v>90678</v>
      </c>
    </row>
    <row r="151" spans="3:18" ht="15" customHeight="1">
      <c r="C151" s="26" t="s">
        <v>113</v>
      </c>
      <c r="E151" s="101">
        <v>2.8500000000000001E-2</v>
      </c>
      <c r="F151" s="101">
        <v>2.8500000000000001E-2</v>
      </c>
      <c r="G151" s="102">
        <f>F151</f>
        <v>2.8500000000000001E-2</v>
      </c>
      <c r="H151" s="102">
        <f>G151</f>
        <v>2.8500000000000001E-2</v>
      </c>
      <c r="I151" s="102">
        <f>H151</f>
        <v>2.8500000000000001E-2</v>
      </c>
      <c r="J151" s="102">
        <f>I151</f>
        <v>2.8500000000000001E-2</v>
      </c>
      <c r="K151" s="102">
        <f>J151</f>
        <v>2.8500000000000001E-2</v>
      </c>
      <c r="R151" s="92"/>
    </row>
    <row r="152" spans="3:18" ht="15" customHeight="1">
      <c r="C152" s="67" t="s">
        <v>116</v>
      </c>
      <c r="D152" s="42"/>
      <c r="E152" s="42">
        <f>E142-E147</f>
        <v>-498.35</v>
      </c>
      <c r="F152" s="42">
        <f>F142-F147</f>
        <v>-375.96870000000001</v>
      </c>
      <c r="G152" s="103">
        <f>G151*AVERAGE(F150:G150)</f>
        <v>2584.3230000000003</v>
      </c>
      <c r="H152" s="103">
        <f>H151*AVERAGE(G150:H150)</f>
        <v>2584.3230000000003</v>
      </c>
      <c r="I152" s="103">
        <f>I151*AVERAGE(H150:I150)</f>
        <v>2584.3230000000003</v>
      </c>
      <c r="J152" s="103">
        <f>J151*AVERAGE(I150:J150)</f>
        <v>2584.3230000000003</v>
      </c>
      <c r="K152" s="103">
        <f>K151*AVERAGE(J150:K150)</f>
        <v>2584.3230000000003</v>
      </c>
    </row>
    <row r="153" spans="3:18" ht="15" customHeight="1">
      <c r="E153" s="39"/>
    </row>
    <row r="154" spans="3:18" ht="15" customHeight="1">
      <c r="C154" s="94" t="s">
        <v>117</v>
      </c>
      <c r="E154" s="39"/>
      <c r="F154" s="39"/>
    </row>
    <row r="155" spans="3:18" ht="15" customHeight="1">
      <c r="C155" s="26" t="s">
        <v>118</v>
      </c>
      <c r="D155" s="104">
        <v>3.5000000000000003E-2</v>
      </c>
      <c r="E155" s="105">
        <v>3.5000000000000003E-2</v>
      </c>
      <c r="F155" s="105">
        <v>3.5000000000000003E-2</v>
      </c>
      <c r="G155" s="106">
        <f>F155</f>
        <v>3.5000000000000003E-2</v>
      </c>
      <c r="H155" s="106">
        <f>G155</f>
        <v>3.5000000000000003E-2</v>
      </c>
      <c r="I155" s="106">
        <f>H155</f>
        <v>3.5000000000000003E-2</v>
      </c>
      <c r="J155" s="106">
        <f>I155</f>
        <v>3.5000000000000003E-2</v>
      </c>
      <c r="K155" s="106">
        <f>J155</f>
        <v>3.5000000000000003E-2</v>
      </c>
    </row>
    <row r="156" spans="3:18" ht="15" customHeight="1">
      <c r="C156" s="26" t="s">
        <v>19</v>
      </c>
      <c r="D156" s="39">
        <f>D23</f>
        <v>0</v>
      </c>
      <c r="E156" s="39">
        <f>E23</f>
        <v>0</v>
      </c>
      <c r="F156" s="39">
        <f>F23</f>
        <v>0</v>
      </c>
      <c r="G156" s="107">
        <f ca="1">IF($D$7=1,AVERAGE(F45,G45)*G155,0)</f>
        <v>5112.0223383388884</v>
      </c>
      <c r="H156" s="107">
        <f ca="1">IF($D$7=1,AVERAGE(G45,H45)*H155,0)</f>
        <v>6126.2494304238862</v>
      </c>
      <c r="I156" s="107">
        <f ca="1">IF($D$7=1,AVERAGE(H45,I45)*I155,0)</f>
        <v>7340.2594761439104</v>
      </c>
      <c r="J156" s="107">
        <f ca="1">IF($D$7=1,AVERAGE(I45,J45)*J155,0)</f>
        <v>8845.3403781500492</v>
      </c>
      <c r="K156" s="107">
        <f ca="1">IF($D$7=1,AVERAGE(J45,K45)*K155,0)</f>
        <v>10663.487974063724</v>
      </c>
    </row>
    <row r="157" spans="3:18" ht="15" customHeight="1">
      <c r="C157" s="47"/>
      <c r="D157" s="48"/>
      <c r="E157" s="48"/>
      <c r="F157" s="48"/>
      <c r="G157" s="48"/>
      <c r="H157" s="48"/>
    </row>
  </sheetData>
  <mergeCells count="1">
    <mergeCell ref="G95:K95"/>
  </mergeCells>
  <conditionalFormatting sqref="C39">
    <cfRule type="expression" dxfId="0" priority="2">
      <formula>#REF!=$C39</formula>
    </cfRule>
  </conditionalFormatting>
  <dataValidations count="2">
    <dataValidation type="list" allowBlank="1" showInputMessage="1" showErrorMessage="1" sqref="D7" xr:uid="{00000000-0002-0000-0100-000000000000}">
      <formula1>"0,1"</formula1>
      <formula2>0</formula2>
    </dataValidation>
    <dataValidation type="list" allowBlank="1" showInputMessage="1" showErrorMessage="1" sqref="C3" xr:uid="{00000000-0002-0000-0100-000001000000}">
      <formula1>"$ bns except per share,$ mm except per share,$ in thousands except per share"</formula1>
      <formula2>0</formula2>
    </dataValidation>
  </dataValidations>
  <pageMargins left="0.7" right="0.7" top="0.75" bottom="0.75" header="0.511811023622047" footer="0.511811023622047"/>
  <pageSetup scale="23" orientation="portrait" horizontalDpi="300" verticalDpi="300"/>
  <legacy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Data_Input</vt:lpstr>
      <vt:lpstr>Forecasting</vt:lpstr>
      <vt:lpstr>Forecasting!Print_Area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Wall Street Prep</dc:creator>
  <dc:description/>
  <cp:lastModifiedBy>Joe Marfisi</cp:lastModifiedBy>
  <cp:revision>0</cp:revision>
  <cp:lastPrinted>2014-05-21T15:17:24Z</cp:lastPrinted>
  <dcterms:created xsi:type="dcterms:W3CDTF">2011-11-04T21:28:06Z</dcterms:created>
  <dcterms:modified xsi:type="dcterms:W3CDTF">2026-06-29T18:59:31Z</dcterms:modified>
  <dc:language>en-US</dc:language>
</cp:coreProperties>
</file>