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joesairbook/Downloads/"/>
    </mc:Choice>
  </mc:AlternateContent>
  <xr:revisionPtr revIDLastSave="0" documentId="8_{66175598-599A-9648-8330-5D1E0CF0330E}" xr6:coauthVersionLast="47" xr6:coauthVersionMax="47" xr10:uidLastSave="{00000000-0000-0000-0000-000000000000}"/>
  <bookViews>
    <workbookView xWindow="0" yWindow="500" windowWidth="28800" windowHeight="16420" tabRatio="500" xr2:uid="{00000000-000D-0000-FFFF-FFFF00000000}"/>
  </bookViews>
  <sheets>
    <sheet name="FCF Model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0" i="1" l="1"/>
  <c r="C77" i="1"/>
  <c r="C73" i="1"/>
  <c r="C71" i="1"/>
  <c r="C72" i="1" s="1"/>
  <c r="C69" i="1"/>
  <c r="F93" i="1" s="1"/>
  <c r="C68" i="1"/>
  <c r="C80" i="1" s="1"/>
  <c r="I40" i="1"/>
  <c r="J40" i="1" s="1"/>
  <c r="K40" i="1" s="1"/>
  <c r="L40" i="1" s="1"/>
  <c r="H39" i="1"/>
  <c r="I39" i="1" s="1"/>
  <c r="J39" i="1" s="1"/>
  <c r="K39" i="1" s="1"/>
  <c r="L39" i="1" s="1"/>
  <c r="F39" i="1"/>
  <c r="E39" i="1"/>
  <c r="D39" i="1"/>
  <c r="C39" i="1"/>
  <c r="G33" i="1"/>
  <c r="F33" i="1"/>
  <c r="E33" i="1"/>
  <c r="D33" i="1"/>
  <c r="H32" i="1"/>
  <c r="I32" i="1" s="1"/>
  <c r="J32" i="1" s="1"/>
  <c r="K32" i="1" s="1"/>
  <c r="L32" i="1" s="1"/>
  <c r="G32" i="1"/>
  <c r="F32" i="1"/>
  <c r="E32" i="1"/>
  <c r="D32" i="1"/>
  <c r="C32" i="1"/>
  <c r="H31" i="1"/>
  <c r="I31" i="1" s="1"/>
  <c r="J31" i="1" s="1"/>
  <c r="K31" i="1" s="1"/>
  <c r="L31" i="1" s="1"/>
  <c r="G31" i="1"/>
  <c r="F31" i="1"/>
  <c r="E31" i="1"/>
  <c r="D31" i="1"/>
  <c r="C31" i="1"/>
  <c r="H30" i="1"/>
  <c r="I30" i="1" s="1"/>
  <c r="J30" i="1" s="1"/>
  <c r="K30" i="1" s="1"/>
  <c r="L30" i="1" s="1"/>
  <c r="G30" i="1"/>
  <c r="F30" i="1"/>
  <c r="E30" i="1"/>
  <c r="D30" i="1"/>
  <c r="C30" i="1"/>
  <c r="H29" i="1"/>
  <c r="I29" i="1" s="1"/>
  <c r="J29" i="1" s="1"/>
  <c r="K29" i="1" s="1"/>
  <c r="L29" i="1" s="1"/>
  <c r="G29" i="1"/>
  <c r="F29" i="1"/>
  <c r="E29" i="1"/>
  <c r="D29" i="1"/>
  <c r="C29" i="1"/>
  <c r="H22" i="1"/>
  <c r="I22" i="1" s="1"/>
  <c r="J22" i="1" s="1"/>
  <c r="K22" i="1" s="1"/>
  <c r="L22" i="1" s="1"/>
  <c r="F22" i="1"/>
  <c r="E22" i="1"/>
  <c r="D22" i="1"/>
  <c r="C22" i="1"/>
  <c r="G19" i="1"/>
  <c r="F19" i="1"/>
  <c r="E19" i="1"/>
  <c r="D19" i="1"/>
  <c r="H18" i="1"/>
  <c r="I18" i="1" s="1"/>
  <c r="J18" i="1" s="1"/>
  <c r="K18" i="1" s="1"/>
  <c r="L18" i="1" s="1"/>
  <c r="G18" i="1"/>
  <c r="F18" i="1"/>
  <c r="E18" i="1"/>
  <c r="D18" i="1"/>
  <c r="C18" i="1"/>
  <c r="I15" i="1"/>
  <c r="J15" i="1" s="1"/>
  <c r="K15" i="1" s="1"/>
  <c r="L15" i="1" s="1"/>
  <c r="G15" i="1"/>
  <c r="F15" i="1"/>
  <c r="E15" i="1"/>
  <c r="D15" i="1"/>
  <c r="C15" i="1"/>
  <c r="G13" i="1"/>
  <c r="F13" i="1"/>
  <c r="E13" i="1"/>
  <c r="D13" i="1"/>
  <c r="C13" i="1"/>
  <c r="I11" i="1"/>
  <c r="J11" i="1" s="1"/>
  <c r="K11" i="1" s="1"/>
  <c r="L11" i="1" s="1"/>
  <c r="G11" i="1"/>
  <c r="G12" i="1" s="1"/>
  <c r="F11" i="1"/>
  <c r="F12" i="1" s="1"/>
  <c r="E11" i="1"/>
  <c r="E12" i="1" s="1"/>
  <c r="D11" i="1"/>
  <c r="H10" i="1"/>
  <c r="H9" i="1"/>
  <c r="I9" i="1" s="1"/>
  <c r="J9" i="1" s="1"/>
  <c r="K9" i="1" s="1"/>
  <c r="L9" i="1" s="1"/>
  <c r="F9" i="1"/>
  <c r="E9" i="1"/>
  <c r="D9" i="1"/>
  <c r="C9" i="1"/>
  <c r="C81" i="1" l="1"/>
  <c r="C83" i="1" s="1"/>
  <c r="C84" i="1"/>
  <c r="C86" i="1" s="1"/>
  <c r="D12" i="1"/>
  <c r="O9" i="1" s="1"/>
  <c r="O8" i="1"/>
  <c r="H41" i="1"/>
  <c r="I10" i="1"/>
  <c r="H17" i="1"/>
  <c r="H45" i="1" s="1"/>
  <c r="H24" i="1"/>
  <c r="H47" i="1" s="1"/>
  <c r="H23" i="1"/>
  <c r="H46" i="1" s="1"/>
  <c r="H14" i="1"/>
  <c r="H42" i="1" s="1"/>
  <c r="H44" i="1" s="1"/>
  <c r="H26" i="1"/>
  <c r="H48" i="1" s="1"/>
  <c r="H28" i="1"/>
  <c r="H50" i="1" s="1"/>
  <c r="C59" i="1" l="1"/>
  <c r="H52" i="1"/>
  <c r="I52" i="1"/>
  <c r="J52" i="1"/>
  <c r="K52" i="1"/>
  <c r="L52" i="1"/>
  <c r="J10" i="1"/>
  <c r="I41" i="1"/>
  <c r="I17" i="1"/>
  <c r="I45" i="1" s="1"/>
  <c r="I26" i="1"/>
  <c r="I48" i="1" s="1"/>
  <c r="I28" i="1"/>
  <c r="I50" i="1" s="1"/>
  <c r="I14" i="1"/>
  <c r="I42" i="1" s="1"/>
  <c r="I44" i="1" s="1"/>
  <c r="I51" i="1" s="1"/>
  <c r="I53" i="1" s="1"/>
  <c r="I23" i="1"/>
  <c r="I46" i="1" s="1"/>
  <c r="I24" i="1"/>
  <c r="I47" i="1" s="1"/>
  <c r="H51" i="1"/>
  <c r="K10" i="1" l="1"/>
  <c r="J41" i="1"/>
  <c r="J17" i="1"/>
  <c r="J45" i="1" s="1"/>
  <c r="J26" i="1"/>
  <c r="J48" i="1" s="1"/>
  <c r="J28" i="1"/>
  <c r="J50" i="1" s="1"/>
  <c r="J14" i="1"/>
  <c r="J42" i="1" s="1"/>
  <c r="J44" i="1" s="1"/>
  <c r="J23" i="1"/>
  <c r="J46" i="1" s="1"/>
  <c r="J24" i="1"/>
  <c r="J47" i="1" s="1"/>
  <c r="H53" i="1"/>
  <c r="L10" i="1" l="1"/>
  <c r="K41" i="1"/>
  <c r="K17" i="1"/>
  <c r="K45" i="1" s="1"/>
  <c r="K24" i="1"/>
  <c r="K47" i="1" s="1"/>
  <c r="K26" i="1"/>
  <c r="K48" i="1" s="1"/>
  <c r="K28" i="1"/>
  <c r="K50" i="1" s="1"/>
  <c r="K14" i="1"/>
  <c r="K42" i="1" s="1"/>
  <c r="K44" i="1" s="1"/>
  <c r="K23" i="1"/>
  <c r="K46" i="1" s="1"/>
  <c r="J51" i="1"/>
  <c r="J53" i="1" s="1"/>
  <c r="L41" i="1" l="1"/>
  <c r="L17" i="1"/>
  <c r="L45" i="1" s="1"/>
  <c r="L24" i="1"/>
  <c r="L47" i="1" s="1"/>
  <c r="L26" i="1"/>
  <c r="L48" i="1" s="1"/>
  <c r="L28" i="1"/>
  <c r="L50" i="1" s="1"/>
  <c r="L14" i="1"/>
  <c r="L42" i="1" s="1"/>
  <c r="L44" i="1" s="1"/>
  <c r="L23" i="1"/>
  <c r="L46" i="1" s="1"/>
  <c r="K51" i="1"/>
  <c r="K53" i="1" s="1"/>
  <c r="L51" i="1" l="1"/>
  <c r="C60" i="1" l="1"/>
  <c r="C61" i="1" s="1"/>
  <c r="C62" i="1" s="1"/>
  <c r="F89" i="1" s="1"/>
  <c r="F92" i="1" s="1"/>
  <c r="F94" i="1" s="1"/>
  <c r="L53" i="1"/>
  <c r="C54" i="1" s="1"/>
  <c r="N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11" authorId="0" shapeId="0" xr:uid="{00000000-0006-0000-0000-000008000000}">
      <text>
        <r>
          <rPr>
            <sz val="10"/>
            <color rgb="FF000000"/>
            <rFont val="Arial"/>
            <family val="2"/>
          </rPr>
          <t>22.2% = geometric mean of FY2021-FY2025 revenue growth (see helper cell O9), rounded to one decimal to match the sensitivity axis. Supported by $2.9B committed backlog. Source: Argan 10-K filings, FYE Jan 31.</t>
        </r>
      </text>
    </comment>
    <comment ref="H15" authorId="0" shapeId="0" xr:uid="{00000000-0006-0000-0000-000009000000}">
      <text>
        <r>
          <rPr>
            <sz val="10"/>
            <color rgb="FF000000"/>
            <rFont val="Arial"/>
            <family val="2"/>
          </rPr>
          <t>FY2026 actual EBIT margin (~14%): net income $137.8M on $944.6M revenue. Source: Argan Q4 FY2026 10-K, reported Mar 26, 2026.</t>
        </r>
      </text>
    </comment>
    <comment ref="C24" authorId="0" shapeId="0" xr:uid="{00000000-0006-0000-0000-000001000000}">
      <text>
        <r>
          <rPr>
            <sz val="10"/>
            <rFont val="Arial"/>
            <family val="2"/>
          </rPr>
          <t>AGX carries no meaningful inventory (EPC contractor). Row kept for format consistency; zeroed.</t>
        </r>
      </text>
    </comment>
    <comment ref="C26" authorId="0" shapeId="0" xr:uid="{00000000-0006-0000-0000-000002000000}">
      <text>
        <r>
          <rPr>
            <sz val="10"/>
            <rFont val="Arial"/>
            <family val="2"/>
          </rPr>
          <t>AP+Accrued FY2021/FY2025 are estimates (exact split not available for all years).</t>
        </r>
      </text>
    </comment>
    <comment ref="C58" authorId="0" shapeId="0" xr:uid="{00000000-0006-0000-0000-000003000000}">
      <text>
        <r>
          <rPr>
            <sz val="10"/>
            <rFont val="Arial"/>
            <family val="2"/>
          </rPr>
          <t>Below nominal long-run GDP (~4%). Justified by structural AI/data center power demand.</t>
        </r>
      </text>
    </comment>
    <comment ref="C74" authorId="0" shapeId="0" xr:uid="{00000000-0006-0000-0000-000004000000}">
      <text>
        <r>
          <rPr>
            <sz val="10"/>
            <rFont val="Arial"/>
            <family val="2"/>
          </rPr>
          <t>10-year U.S. Treasury yield.</t>
        </r>
      </text>
    </comment>
    <comment ref="C77" authorId="0" shapeId="0" xr:uid="{00000000-0006-0000-0000-000005000000}">
      <text>
        <r>
          <rPr>
            <sz val="10"/>
            <rFont val="Arial"/>
            <family val="2"/>
          </rPr>
          <t>Blume adjustment: 2/3 x raw + 1/3.</t>
        </r>
      </text>
    </comment>
    <comment ref="C79" authorId="0" shapeId="0" xr:uid="{00000000-0006-0000-0000-000006000000}">
      <text>
        <r>
          <rPr>
            <sz val="10"/>
            <rFont val="Arial"/>
            <family val="2"/>
          </rPr>
          <t>AGX carries zero long-term debt. WACC = Cost of Equity (100% equity-weighted).</t>
        </r>
      </text>
    </comment>
    <comment ref="F91" authorId="0" shapeId="0" xr:uid="{00000000-0006-0000-0000-000007000000}">
      <text>
        <r>
          <rPr>
            <sz val="10"/>
            <rFont val="Arial"/>
            <family val="2"/>
          </rPr>
          <t>Source: Argan Q4 FY2026 10-K (reported Mar 26, 2026), Cash + Short-term Investments.</t>
        </r>
      </text>
    </comment>
  </commentList>
</comments>
</file>

<file path=xl/sharedStrings.xml><?xml version="1.0" encoding="utf-8"?>
<sst xmlns="http://schemas.openxmlformats.org/spreadsheetml/2006/main" count="91" uniqueCount="82">
  <si>
    <t>ARGAN, INC. (AGX) - DISCOUNTED CASH FLOW MODEL</t>
  </si>
  <si>
    <t>Valuation Date:</t>
  </si>
  <si>
    <t>absolute numbers are in millions of $</t>
  </si>
  <si>
    <t>Share Price on Valuation Date:</t>
  </si>
  <si>
    <t>Diluted Shares Outstanding</t>
  </si>
  <si>
    <t>Select Operating Data</t>
  </si>
  <si>
    <t>Projected Annual Forecast</t>
  </si>
  <si>
    <t>arithmetic</t>
  </si>
  <si>
    <t>geometric</t>
  </si>
  <si>
    <t>Revenue</t>
  </si>
  <si>
    <t>Revenue Growth Rate (%)</t>
  </si>
  <si>
    <t>ln Revenue</t>
  </si>
  <si>
    <t>EBIT</t>
  </si>
  <si>
    <t>EBIT Margin (%)</t>
  </si>
  <si>
    <t>Depreciation &amp; Amortization</t>
  </si>
  <si>
    <t>D&amp;A as a % of revenue</t>
  </si>
  <si>
    <t>D&amp;A growth rate (%)</t>
  </si>
  <si>
    <t>Select Balance Sheet And Other Data</t>
  </si>
  <si>
    <t>Accounts Receivable</t>
  </si>
  <si>
    <t>Inventories</t>
  </si>
  <si>
    <t>PP&amp;E</t>
  </si>
  <si>
    <t>Accounts Payable and Accrued</t>
  </si>
  <si>
    <t>Capital Expenditures</t>
  </si>
  <si>
    <t>CapEx as % of Revenue</t>
  </si>
  <si>
    <t>Accounts Receivable as % of Revenue</t>
  </si>
  <si>
    <t>Inventories as % of Revenue</t>
  </si>
  <si>
    <t>AP + Accrued as % of Revenue</t>
  </si>
  <si>
    <t>PP&amp;E growth</t>
  </si>
  <si>
    <t>Free Cash Flow Buildup</t>
  </si>
  <si>
    <t>$mm</t>
  </si>
  <si>
    <t>Period</t>
  </si>
  <si>
    <t>Total Revenues</t>
  </si>
  <si>
    <t>Tax rate</t>
  </si>
  <si>
    <t>EBIAT</t>
  </si>
  <si>
    <t>Chg in Accounts Receivable</t>
  </si>
  <si>
    <t>Chg in Inventories</t>
  </si>
  <si>
    <t>Chg in Accounts Payable and Accrued</t>
  </si>
  <si>
    <t>Capital expenditures</t>
  </si>
  <si>
    <t>year 5 FCF growth rate</t>
  </si>
  <si>
    <t>Unlevered free cash flows</t>
  </si>
  <si>
    <t>Discount Rate (WACC)</t>
  </si>
  <si>
    <t>Present value of free cash flows</t>
  </si>
  <si>
    <t>Sum of present values of FCFs</t>
  </si>
  <si>
    <t>Terminal Value</t>
  </si>
  <si>
    <t>Growth in perpetuity method:</t>
  </si>
  <si>
    <t>Long term growth rate</t>
  </si>
  <si>
    <t>WACC</t>
  </si>
  <si>
    <t>Free cash flow (t+1)</t>
  </si>
  <si>
    <t>Present Value of Terminal Value</t>
  </si>
  <si>
    <t>Share Price</t>
  </si>
  <si>
    <t>Cost of Debt</t>
  </si>
  <si>
    <t>Tax Rate</t>
  </si>
  <si>
    <t>After-tax Cost of Debt</t>
  </si>
  <si>
    <t>Cost of Equity</t>
  </si>
  <si>
    <t>risk-free rate</t>
  </si>
  <si>
    <t>market risk premium</t>
  </si>
  <si>
    <t>beta (raw)</t>
  </si>
  <si>
    <t>adjusted beta</t>
  </si>
  <si>
    <t>Total Debt ($)</t>
  </si>
  <si>
    <t>Total Equity ($)</t>
  </si>
  <si>
    <t>Total Capital</t>
  </si>
  <si>
    <t>Debt Weighting</t>
  </si>
  <si>
    <t>Equity Weighting</t>
  </si>
  <si>
    <t>WACC =</t>
  </si>
  <si>
    <t>Enterprise Value to Equity Value</t>
  </si>
  <si>
    <t>Enterprise Value</t>
  </si>
  <si>
    <t>Less: Total Debt</t>
  </si>
  <si>
    <t>Plus: Cash &amp; Investments</t>
  </si>
  <si>
    <t>Equity Value</t>
  </si>
  <si>
    <t>Equity Value Per Share</t>
  </si>
  <si>
    <t>SENSITIVITY ANALYSIS - Implied Value per Share ($)</t>
  </si>
  <si>
    <t>Rows: EBIT Margin  |  Columns: Revenue Growth (annual)</t>
  </si>
  <si>
    <t>EBIT Mgn \ Rev Gr</t>
  </si>
  <si>
    <t>Data Sources &amp; Notes</t>
  </si>
  <si>
    <t>Historical financials: Argan, Inc. 10-K filings (FY2021-FY2025, fiscal year ending Jan 31)</t>
  </si>
  <si>
    <t>Revenue growth: geometric mean of FY2021-FY2025 growth (22.2%); supported by $2.9B committed backlog</t>
  </si>
  <si>
    <t>EBIT margin: 14% per FY2026 actuals (net income $137.8M on $944.6M revenue)</t>
  </si>
  <si>
    <t>Working capital, D&amp;A, and CapEx projected as % of revenue (5-year average ratios)</t>
  </si>
  <si>
    <t>Inventories zeroed: AGX carries no meaningful inventory as an EPC contractor</t>
  </si>
  <si>
    <t>Beta: 0.46 raw, Blume-adjusted to 0.64; risk-free 4.1% (10-yr UST); MRP 5.4%</t>
  </si>
  <si>
    <t>AGX carries zero long-term debt; WACC = Cost of Equity (100% equity-weighted)</t>
  </si>
  <si>
    <t>Cash &amp; investments $895M per Q4 FY2026 10-K (reported Mar 26,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</si>
</sst>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d/yyyy"/>
    <numFmt numFmtId="165" formatCode="0.0%"/>
    <numFmt numFmtId="166" formatCode="#,##0.0;\(#,##0.0\)"/>
    <numFmt numFmtId="167" formatCode="#,##0.0"/>
    <numFmt numFmtId="168" formatCode="\$#,##0.00"/>
    <numFmt numFmtId="169" formatCode="\$#,##0"/>
  </numFmts>
  <fonts count="6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2"/>
      <name val="Cambria"/>
      <family val="1"/>
      <charset val="1"/>
    </font>
    <font>
      <b/>
      <sz val="11"/>
      <color rgb="FFFFFFFF"/>
      <name val="Cambria"/>
      <family val="1"/>
      <charset val="1"/>
    </font>
    <font>
      <b/>
      <sz val="11"/>
      <name val="Cambria"/>
      <family val="1"/>
      <charset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0000FF"/>
        <bgColor rgb="FF0000FF"/>
      </patternFill>
    </fill>
    <fill>
      <patternFill patternType="solid">
        <fgColor theme="9" tint="0.39988402966399123"/>
        <bgColor rgb="FFFFCC99"/>
      </patternFill>
    </fill>
    <fill>
      <patternFill patternType="solid">
        <fgColor rgb="FFFFCC99"/>
        <bgColor rgb="FFFAC090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medium">
        <color rgb="FFC9A227"/>
      </left>
      <right style="medium">
        <color rgb="FFC9A227"/>
      </right>
      <top style="medium">
        <color rgb="FFC9A227"/>
      </top>
      <bottom style="medium">
        <color rgb="FFC9A227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5" borderId="0" xfId="0" applyFill="1" applyAlignment="1">
      <alignment horizontal="center"/>
    </xf>
    <xf numFmtId="0" fontId="2" fillId="0" borderId="0" xfId="0" applyFont="1"/>
    <xf numFmtId="164" fontId="0" fillId="2" borderId="0" xfId="0" applyNumberFormat="1" applyFill="1"/>
    <xf numFmtId="2" fontId="0" fillId="2" borderId="0" xfId="0" applyNumberFormat="1" applyFill="1"/>
    <xf numFmtId="2" fontId="0" fillId="3" borderId="0" xfId="0" applyNumberFormat="1" applyFill="1"/>
    <xf numFmtId="0" fontId="3" fillId="4" borderId="0" xfId="0" applyFont="1" applyFill="1"/>
    <xf numFmtId="165" fontId="0" fillId="0" borderId="0" xfId="0" applyNumberFormat="1"/>
    <xf numFmtId="164" fontId="0" fillId="0" borderId="0" xfId="0" applyNumberFormat="1"/>
    <xf numFmtId="166" fontId="0" fillId="3" borderId="0" xfId="0" applyNumberFormat="1" applyFill="1"/>
    <xf numFmtId="166" fontId="0" fillId="0" borderId="0" xfId="0" applyNumberFormat="1"/>
    <xf numFmtId="165" fontId="0" fillId="3" borderId="0" xfId="0" applyNumberFormat="1" applyFill="1"/>
    <xf numFmtId="10" fontId="0" fillId="0" borderId="0" xfId="0" applyNumberFormat="1"/>
    <xf numFmtId="166" fontId="0" fillId="2" borderId="0" xfId="0" applyNumberFormat="1" applyFill="1"/>
    <xf numFmtId="167" fontId="0" fillId="0" borderId="0" xfId="0" applyNumberFormat="1"/>
    <xf numFmtId="10" fontId="0" fillId="3" borderId="0" xfId="0" applyNumberFormat="1" applyFill="1"/>
    <xf numFmtId="2" fontId="0" fillId="0" borderId="0" xfId="0" applyNumberFormat="1"/>
    <xf numFmtId="0" fontId="0" fillId="3" borderId="0" xfId="0" applyFill="1"/>
    <xf numFmtId="0" fontId="4" fillId="0" borderId="0" xfId="0" applyFont="1"/>
    <xf numFmtId="10" fontId="4" fillId="0" borderId="0" xfId="0" applyNumberFormat="1" applyFont="1"/>
    <xf numFmtId="167" fontId="0" fillId="3" borderId="0" xfId="0" applyNumberFormat="1" applyFill="1"/>
    <xf numFmtId="168" fontId="4" fillId="0" borderId="0" xfId="0" applyNumberFormat="1" applyFont="1"/>
    <xf numFmtId="0" fontId="4" fillId="7" borderId="0" xfId="0" applyFont="1" applyFill="1"/>
    <xf numFmtId="165" fontId="4" fillId="7" borderId="0" xfId="0" applyNumberFormat="1" applyFont="1" applyFill="1"/>
    <xf numFmtId="169" fontId="0" fillId="0" borderId="0" xfId="0" applyNumberFormat="1"/>
    <xf numFmtId="169" fontId="4" fillId="0" borderId="1" xfId="0" applyNumberFormat="1" applyFont="1" applyBorder="1"/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AC09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"/>
  <sheetViews>
    <sheetView tabSelected="1" topLeftCell="A61" zoomScaleNormal="100" workbookViewId="0">
      <selection activeCell="H93" sqref="H93"/>
    </sheetView>
  </sheetViews>
  <sheetFormatPr baseColWidth="10" defaultColWidth="8.6640625" defaultRowHeight="15" x14ac:dyDescent="0.2"/>
  <cols>
    <col min="1" max="1" width="3" customWidth="1"/>
    <col min="2" max="2" width="36" customWidth="1"/>
    <col min="3" max="3" width="16.5" customWidth="1"/>
    <col min="4" max="12" width="11.5" customWidth="1"/>
    <col min="14" max="14" width="20" customWidth="1"/>
    <col min="15" max="15" width="11" customWidth="1"/>
  </cols>
  <sheetData>
    <row r="1" spans="1:15" ht="15" customHeight="1" x14ac:dyDescent="0.2">
      <c r="A1" s="2" t="s">
        <v>0</v>
      </c>
    </row>
    <row r="3" spans="1:15" ht="15" customHeight="1" x14ac:dyDescent="0.2">
      <c r="B3" t="s">
        <v>1</v>
      </c>
      <c r="F3" s="3">
        <v>46117</v>
      </c>
      <c r="J3" t="s">
        <v>2</v>
      </c>
    </row>
    <row r="4" spans="1:15" ht="15" customHeight="1" x14ac:dyDescent="0.2">
      <c r="B4" t="s">
        <v>3</v>
      </c>
      <c r="F4" s="4">
        <v>575.16</v>
      </c>
    </row>
    <row r="5" spans="1:15" ht="15" customHeight="1" x14ac:dyDescent="0.2">
      <c r="B5" t="s">
        <v>4</v>
      </c>
      <c r="F5" s="5">
        <v>13.95</v>
      </c>
    </row>
    <row r="6" spans="1:15" ht="15" customHeight="1" x14ac:dyDescent="0.2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</row>
    <row r="7" spans="1:15" ht="15" customHeight="1" x14ac:dyDescent="0.2">
      <c r="B7" s="6" t="s">
        <v>5</v>
      </c>
    </row>
    <row r="8" spans="1:15" ht="15" customHeight="1" x14ac:dyDescent="0.2">
      <c r="H8" s="1" t="s">
        <v>6</v>
      </c>
      <c r="I8" s="1"/>
      <c r="J8" s="1"/>
      <c r="K8" s="1"/>
      <c r="L8" s="1"/>
      <c r="N8" t="s">
        <v>7</v>
      </c>
      <c r="O8" s="7">
        <f>AVERAGE(D11:G11)</f>
        <v>0.24422273015707824</v>
      </c>
    </row>
    <row r="9" spans="1:15" ht="15" customHeight="1" x14ac:dyDescent="0.2">
      <c r="C9" s="8">
        <f>D9-365</f>
        <v>44228</v>
      </c>
      <c r="D9" s="8">
        <f>E9-365</f>
        <v>44593</v>
      </c>
      <c r="E9" s="8">
        <f>F9-365</f>
        <v>44958</v>
      </c>
      <c r="F9" s="8">
        <f>G9-365</f>
        <v>45323</v>
      </c>
      <c r="G9" s="8">
        <v>45688</v>
      </c>
      <c r="H9" s="8">
        <f>G9+365</f>
        <v>46053</v>
      </c>
      <c r="I9" s="8">
        <f>H9+365</f>
        <v>46418</v>
      </c>
      <c r="J9" s="8">
        <f>I9+365</f>
        <v>46783</v>
      </c>
      <c r="K9" s="8">
        <f>J9+365</f>
        <v>47148</v>
      </c>
      <c r="L9" s="8">
        <f>K9+365</f>
        <v>47513</v>
      </c>
      <c r="N9" t="s">
        <v>8</v>
      </c>
      <c r="O9" s="7">
        <f>GEOMEAN(D12:G12)-1</f>
        <v>0.22187225441959435</v>
      </c>
    </row>
    <row r="10" spans="1:15" ht="15" customHeight="1" x14ac:dyDescent="0.2">
      <c r="B10" t="s">
        <v>9</v>
      </c>
      <c r="C10" s="9">
        <v>392.2</v>
      </c>
      <c r="D10" s="9">
        <v>509.4</v>
      </c>
      <c r="E10" s="9">
        <v>455</v>
      </c>
      <c r="F10" s="9">
        <v>573.29999999999995</v>
      </c>
      <c r="G10" s="9">
        <v>874.2</v>
      </c>
      <c r="H10" s="10">
        <f>G10*(1+H11)</f>
        <v>1068.2724000000001</v>
      </c>
      <c r="I10" s="10">
        <f>H10*(1+I11)</f>
        <v>1305.4288728000001</v>
      </c>
      <c r="J10" s="10">
        <f>I10*(1+J11)</f>
        <v>1595.2340825616002</v>
      </c>
      <c r="K10" s="10">
        <f>J10*(1+K11)</f>
        <v>1949.3760488902753</v>
      </c>
      <c r="L10" s="10">
        <f>K10*(1+L11)</f>
        <v>2382.1375317439165</v>
      </c>
    </row>
    <row r="11" spans="1:15" ht="15" customHeight="1" x14ac:dyDescent="0.2">
      <c r="B11" t="s">
        <v>10</v>
      </c>
      <c r="D11" s="7">
        <f>D10/C10-1</f>
        <v>0.29882712901580821</v>
      </c>
      <c r="E11" s="7">
        <f>E10/D10-1</f>
        <v>-0.10679230467216327</v>
      </c>
      <c r="F11" s="7">
        <f>F10/E10-1</f>
        <v>0.26</v>
      </c>
      <c r="G11" s="7">
        <f>G10/F10-1</f>
        <v>0.52485609628466801</v>
      </c>
      <c r="H11" s="11">
        <v>0.222</v>
      </c>
      <c r="I11" s="11">
        <f>H11</f>
        <v>0.222</v>
      </c>
      <c r="J11" s="11">
        <f>I11</f>
        <v>0.222</v>
      </c>
      <c r="K11" s="11">
        <f>J11</f>
        <v>0.222</v>
      </c>
      <c r="L11" s="11">
        <f>K11</f>
        <v>0.222</v>
      </c>
    </row>
    <row r="12" spans="1:15" ht="15" customHeight="1" x14ac:dyDescent="0.2">
      <c r="B12" t="s">
        <v>8</v>
      </c>
      <c r="D12" s="12">
        <f>D11+1</f>
        <v>1.2988271290158082</v>
      </c>
      <c r="E12" s="12">
        <f>E11+1</f>
        <v>0.89320769532783673</v>
      </c>
      <c r="F12" s="12">
        <f>F11+1</f>
        <v>1.26</v>
      </c>
      <c r="G12" s="12">
        <f>G11+1</f>
        <v>1.524856096284668</v>
      </c>
    </row>
    <row r="13" spans="1:15" ht="15" customHeight="1" x14ac:dyDescent="0.2">
      <c r="B13" t="s">
        <v>11</v>
      </c>
      <c r="C13">
        <f>LN(C10)</f>
        <v>5.9717719137622458</v>
      </c>
      <c r="D13">
        <f>LN(D10)</f>
        <v>6.2332335625453563</v>
      </c>
      <c r="E13">
        <f>LN(E10)</f>
        <v>6.1202974189509503</v>
      </c>
      <c r="F13">
        <f>LN(F10)</f>
        <v>6.3514091399143373</v>
      </c>
      <c r="G13">
        <f>LN(G10)</f>
        <v>6.7733091824292142</v>
      </c>
    </row>
    <row r="14" spans="1:15" ht="15" customHeight="1" x14ac:dyDescent="0.2">
      <c r="B14" t="s">
        <v>12</v>
      </c>
      <c r="C14" s="9">
        <v>23</v>
      </c>
      <c r="D14" s="9">
        <v>44.5</v>
      </c>
      <c r="E14" s="9">
        <v>41.7</v>
      </c>
      <c r="F14" s="9">
        <v>36.5</v>
      </c>
      <c r="G14" s="9">
        <v>88.2</v>
      </c>
      <c r="H14" s="10">
        <f>H10*H15</f>
        <v>149.55813600000002</v>
      </c>
      <c r="I14" s="10">
        <f>I10*I15</f>
        <v>182.76004219200004</v>
      </c>
      <c r="J14" s="10">
        <f>J10*J15</f>
        <v>223.33277155862405</v>
      </c>
      <c r="K14" s="10">
        <f>K10*K15</f>
        <v>272.91264684463857</v>
      </c>
      <c r="L14" s="10">
        <f>L10*L15</f>
        <v>333.49925444414833</v>
      </c>
    </row>
    <row r="15" spans="1:15" ht="15" customHeight="1" x14ac:dyDescent="0.2">
      <c r="B15" t="s">
        <v>13</v>
      </c>
      <c r="C15" s="7">
        <f>C14/C10</f>
        <v>5.8643549209586948E-2</v>
      </c>
      <c r="D15" s="7">
        <f>D14/D10</f>
        <v>8.7357675696898313E-2</v>
      </c>
      <c r="E15" s="7">
        <f>E14/E10</f>
        <v>9.1648351648351653E-2</v>
      </c>
      <c r="F15" s="7">
        <f>F14/F10</f>
        <v>6.3666492237920813E-2</v>
      </c>
      <c r="G15" s="7">
        <f>G14/G10</f>
        <v>0.10089224433768017</v>
      </c>
      <c r="H15" s="11">
        <v>0.14000000000000001</v>
      </c>
      <c r="I15" s="11">
        <f>H15</f>
        <v>0.14000000000000001</v>
      </c>
      <c r="J15" s="11">
        <f>I15</f>
        <v>0.14000000000000001</v>
      </c>
      <c r="K15" s="11">
        <f>J15</f>
        <v>0.14000000000000001</v>
      </c>
      <c r="L15" s="11">
        <f>K15</f>
        <v>0.14000000000000001</v>
      </c>
    </row>
    <row r="17" spans="2:12" ht="15" customHeight="1" x14ac:dyDescent="0.2">
      <c r="B17" t="s">
        <v>14</v>
      </c>
      <c r="C17" s="13">
        <v>3</v>
      </c>
      <c r="D17" s="13">
        <v>2.5</v>
      </c>
      <c r="E17" s="13">
        <v>2.5</v>
      </c>
      <c r="F17" s="13">
        <v>2.4</v>
      </c>
      <c r="G17" s="13">
        <v>2.2999999999999998</v>
      </c>
      <c r="H17" s="10">
        <f>H10*H18</f>
        <v>5.313301789395509</v>
      </c>
      <c r="I17" s="10">
        <f>I10*I18</f>
        <v>6.4928547866413124</v>
      </c>
      <c r="J17" s="10">
        <f>J10*J18</f>
        <v>7.9342685492756839</v>
      </c>
      <c r="K17" s="10">
        <f>K10*K18</f>
        <v>9.6956761672148861</v>
      </c>
      <c r="L17" s="10">
        <f>L10*L18</f>
        <v>11.84811627633659</v>
      </c>
    </row>
    <row r="18" spans="2:12" ht="15" customHeight="1" x14ac:dyDescent="0.2">
      <c r="B18" t="s">
        <v>15</v>
      </c>
      <c r="C18" s="7">
        <f>C17/C10</f>
        <v>7.6491585925548191E-3</v>
      </c>
      <c r="D18" s="7">
        <f>D17/D10</f>
        <v>4.9077345897133888E-3</v>
      </c>
      <c r="E18" s="7">
        <f>E17/E10</f>
        <v>5.4945054945054949E-3</v>
      </c>
      <c r="F18" s="7">
        <f>F17/F10</f>
        <v>4.1862899005756151E-3</v>
      </c>
      <c r="G18" s="7">
        <f>G17/G10</f>
        <v>2.6309768931594597E-3</v>
      </c>
      <c r="H18" s="11">
        <f>AVERAGE($C$18:$G$18)</f>
        <v>4.973733094101756E-3</v>
      </c>
      <c r="I18" s="11">
        <f>H18</f>
        <v>4.973733094101756E-3</v>
      </c>
      <c r="J18" s="11">
        <f>I18</f>
        <v>4.973733094101756E-3</v>
      </c>
      <c r="K18" s="11">
        <f>J18</f>
        <v>4.973733094101756E-3</v>
      </c>
      <c r="L18" s="11">
        <f>K18</f>
        <v>4.973733094101756E-3</v>
      </c>
    </row>
    <row r="19" spans="2:12" ht="15" customHeight="1" x14ac:dyDescent="0.2">
      <c r="B19" t="s">
        <v>16</v>
      </c>
      <c r="D19" s="7">
        <f>D17/C17-1</f>
        <v>-0.16666666666666663</v>
      </c>
      <c r="E19" s="7">
        <f>E17/D17-1</f>
        <v>0</v>
      </c>
      <c r="F19" s="7">
        <f>F17/E17-1</f>
        <v>-4.0000000000000036E-2</v>
      </c>
      <c r="G19" s="7">
        <f>G17/F17-1</f>
        <v>-4.1666666666666741E-2</v>
      </c>
    </row>
    <row r="20" spans="2:12" ht="15" customHeight="1" x14ac:dyDescent="0.2">
      <c r="B20" s="6" t="s">
        <v>17</v>
      </c>
    </row>
    <row r="21" spans="2:12" ht="15" customHeight="1" x14ac:dyDescent="0.2">
      <c r="H21" s="1" t="s">
        <v>6</v>
      </c>
      <c r="I21" s="1"/>
      <c r="J21" s="1"/>
      <c r="K21" s="1"/>
      <c r="L21" s="1"/>
    </row>
    <row r="22" spans="2:12" ht="15" customHeight="1" x14ac:dyDescent="0.2">
      <c r="C22" s="8">
        <f>D22-365</f>
        <v>44228</v>
      </c>
      <c r="D22" s="8">
        <f>E22-365</f>
        <v>44593</v>
      </c>
      <c r="E22" s="8">
        <f>F22-365</f>
        <v>44958</v>
      </c>
      <c r="F22" s="8">
        <f>G22-365</f>
        <v>45323</v>
      </c>
      <c r="G22" s="8">
        <v>45688</v>
      </c>
      <c r="H22" s="8">
        <f>G22+365</f>
        <v>46053</v>
      </c>
      <c r="I22" s="8">
        <f>H22+365</f>
        <v>46418</v>
      </c>
      <c r="J22" s="8">
        <f>I22+365</f>
        <v>46783</v>
      </c>
      <c r="K22" s="8">
        <f>J22+365</f>
        <v>47148</v>
      </c>
      <c r="L22" s="8">
        <f>K22+365</f>
        <v>47513</v>
      </c>
    </row>
    <row r="23" spans="2:12" ht="15" customHeight="1" x14ac:dyDescent="0.2">
      <c r="B23" t="s">
        <v>18</v>
      </c>
      <c r="C23" s="9">
        <v>32.4</v>
      </c>
      <c r="D23" s="9">
        <v>36</v>
      </c>
      <c r="E23" s="9">
        <v>60.8</v>
      </c>
      <c r="F23" s="9">
        <v>60</v>
      </c>
      <c r="G23" s="9">
        <v>106.5</v>
      </c>
      <c r="H23" s="10">
        <f>H10*H30</f>
        <v>109.68841132097161</v>
      </c>
      <c r="I23" s="10">
        <f>I10*I30</f>
        <v>134.0392386342273</v>
      </c>
      <c r="J23" s="10">
        <f>J10*J30</f>
        <v>163.79594961102578</v>
      </c>
      <c r="K23" s="10">
        <f>K10*K30</f>
        <v>200.15865042467348</v>
      </c>
      <c r="L23" s="10">
        <f>L10*L30</f>
        <v>244.59387081895099</v>
      </c>
    </row>
    <row r="24" spans="2:12" ht="15" customHeight="1" x14ac:dyDescent="0.2">
      <c r="B24" t="s">
        <v>19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0">
        <f>H10*H31</f>
        <v>0</v>
      </c>
      <c r="I24" s="10">
        <f>I10*I31</f>
        <v>0</v>
      </c>
      <c r="J24" s="10">
        <f>J10*J31</f>
        <v>0</v>
      </c>
      <c r="K24" s="10">
        <f>K10*K31</f>
        <v>0</v>
      </c>
      <c r="L24" s="10">
        <f>L10*L31</f>
        <v>0</v>
      </c>
    </row>
    <row r="25" spans="2:12" ht="15" customHeight="1" x14ac:dyDescent="0.2">
      <c r="B25" t="s">
        <v>20</v>
      </c>
      <c r="C25" s="10">
        <v>10.5</v>
      </c>
      <c r="D25" s="10">
        <v>10.5</v>
      </c>
      <c r="E25" s="10">
        <v>10.4</v>
      </c>
      <c r="F25" s="10">
        <v>11</v>
      </c>
      <c r="G25" s="10">
        <v>11.5</v>
      </c>
    </row>
    <row r="26" spans="2:12" ht="15" customHeight="1" x14ac:dyDescent="0.2">
      <c r="B26" t="s">
        <v>21</v>
      </c>
      <c r="C26" s="9">
        <v>103</v>
      </c>
      <c r="D26" s="9">
        <v>87</v>
      </c>
      <c r="E26" s="9">
        <v>106.2</v>
      </c>
      <c r="F26" s="9">
        <v>121.2</v>
      </c>
      <c r="G26" s="9">
        <v>173</v>
      </c>
      <c r="H26" s="10">
        <f>H10*H32</f>
        <v>229.91780074780081</v>
      </c>
      <c r="I26" s="10">
        <f>I10*I32</f>
        <v>280.95955251381258</v>
      </c>
      <c r="J26" s="10">
        <f>J10*J32</f>
        <v>343.33257317187901</v>
      </c>
      <c r="K26" s="10">
        <f>K10*K32</f>
        <v>419.55240441603615</v>
      </c>
      <c r="L26" s="10">
        <f>L10*L32</f>
        <v>512.69303819639617</v>
      </c>
    </row>
    <row r="28" spans="2:12" ht="15" customHeight="1" x14ac:dyDescent="0.2">
      <c r="B28" t="s">
        <v>22</v>
      </c>
      <c r="C28" s="9">
        <v>3</v>
      </c>
      <c r="D28" s="9">
        <v>2.5</v>
      </c>
      <c r="E28" s="9">
        <v>2.5</v>
      </c>
      <c r="F28" s="9">
        <v>3</v>
      </c>
      <c r="G28" s="9">
        <v>6.6</v>
      </c>
      <c r="H28" s="10">
        <f>H10*H29</f>
        <v>6.587826687354692</v>
      </c>
      <c r="I28" s="10">
        <f>I10*I29</f>
        <v>8.0503242119474336</v>
      </c>
      <c r="J28" s="10">
        <f>J10*J29</f>
        <v>9.8374961869997648</v>
      </c>
      <c r="K28" s="10">
        <f>K10*K29</f>
        <v>12.021420340513712</v>
      </c>
      <c r="L28" s="10">
        <f>L10*L29</f>
        <v>14.690175656107757</v>
      </c>
    </row>
    <row r="29" spans="2:12" ht="15" customHeight="1" x14ac:dyDescent="0.2">
      <c r="B29" t="s">
        <v>23</v>
      </c>
      <c r="C29" s="7">
        <f>C28/C10</f>
        <v>7.6491585925548191E-3</v>
      </c>
      <c r="D29" s="7">
        <f>D28/D10</f>
        <v>4.9077345897133888E-3</v>
      </c>
      <c r="E29" s="7">
        <f>E28/E10</f>
        <v>5.4945054945054949E-3</v>
      </c>
      <c r="F29" s="7">
        <f>F28/F10</f>
        <v>5.2328623757195193E-3</v>
      </c>
      <c r="G29" s="7">
        <f>G28/G10</f>
        <v>7.5497597803706237E-3</v>
      </c>
      <c r="H29" s="11">
        <f>AVERAGE($C$29:$G$29)</f>
        <v>6.1668041665727692E-3</v>
      </c>
      <c r="I29" s="11">
        <f t="shared" ref="I29:L32" si="0">H29</f>
        <v>6.1668041665727692E-3</v>
      </c>
      <c r="J29" s="11">
        <f t="shared" si="0"/>
        <v>6.1668041665727692E-3</v>
      </c>
      <c r="K29" s="11">
        <f t="shared" si="0"/>
        <v>6.1668041665727692E-3</v>
      </c>
      <c r="L29" s="11">
        <f t="shared" si="0"/>
        <v>6.1668041665727692E-3</v>
      </c>
    </row>
    <row r="30" spans="2:12" ht="15" customHeight="1" x14ac:dyDescent="0.2">
      <c r="B30" t="s">
        <v>24</v>
      </c>
      <c r="C30" s="7">
        <f>C23/C10</f>
        <v>8.261091279959204E-2</v>
      </c>
      <c r="D30" s="7">
        <f>D23/D10</f>
        <v>7.0671378091872794E-2</v>
      </c>
      <c r="E30" s="7">
        <f>E23/E10</f>
        <v>0.13362637362637361</v>
      </c>
      <c r="F30" s="7">
        <f>F23/F10</f>
        <v>0.10465724751439039</v>
      </c>
      <c r="G30" s="7">
        <f>G23/G10</f>
        <v>0.12182566918325326</v>
      </c>
      <c r="H30" s="11">
        <f>AVERAGE($C$30:$G$30)</f>
        <v>0.10267831624309642</v>
      </c>
      <c r="I30" s="11">
        <f t="shared" si="0"/>
        <v>0.10267831624309642</v>
      </c>
      <c r="J30" s="11">
        <f t="shared" si="0"/>
        <v>0.10267831624309642</v>
      </c>
      <c r="K30" s="11">
        <f t="shared" si="0"/>
        <v>0.10267831624309642</v>
      </c>
      <c r="L30" s="11">
        <f t="shared" si="0"/>
        <v>0.10267831624309642</v>
      </c>
    </row>
    <row r="31" spans="2:12" ht="15" customHeight="1" x14ac:dyDescent="0.2">
      <c r="B31" t="s">
        <v>25</v>
      </c>
      <c r="C31" s="7">
        <f>C24/C10</f>
        <v>0</v>
      </c>
      <c r="D31" s="7">
        <f>D24/D10</f>
        <v>0</v>
      </c>
      <c r="E31" s="7">
        <f>E24/E10</f>
        <v>0</v>
      </c>
      <c r="F31" s="7">
        <f>F24/F10</f>
        <v>0</v>
      </c>
      <c r="G31" s="7">
        <f>G24/G10</f>
        <v>0</v>
      </c>
      <c r="H31" s="11">
        <f>AVERAGE($C$31:$G$31)</f>
        <v>0</v>
      </c>
      <c r="I31" s="11">
        <f t="shared" si="0"/>
        <v>0</v>
      </c>
      <c r="J31" s="11">
        <f t="shared" si="0"/>
        <v>0</v>
      </c>
      <c r="K31" s="11">
        <f t="shared" si="0"/>
        <v>0</v>
      </c>
      <c r="L31" s="11">
        <f t="shared" si="0"/>
        <v>0</v>
      </c>
    </row>
    <row r="32" spans="2:12" ht="15" customHeight="1" x14ac:dyDescent="0.2">
      <c r="B32" t="s">
        <v>26</v>
      </c>
      <c r="C32" s="7">
        <f>C26/C10</f>
        <v>0.26262111167771546</v>
      </c>
      <c r="D32" s="7">
        <f>D26/D10</f>
        <v>0.17078916372202593</v>
      </c>
      <c r="E32" s="7">
        <f>E26/E10</f>
        <v>0.23340659340659342</v>
      </c>
      <c r="F32" s="7">
        <f>F26/F10</f>
        <v>0.21140763997906858</v>
      </c>
      <c r="G32" s="7">
        <f>G26/G10</f>
        <v>0.19789521848547242</v>
      </c>
      <c r="H32" s="11">
        <f>AVERAGE($C$32:$G$32)</f>
        <v>0.21522394545417517</v>
      </c>
      <c r="I32" s="11">
        <f t="shared" si="0"/>
        <v>0.21522394545417517</v>
      </c>
      <c r="J32" s="11">
        <f t="shared" si="0"/>
        <v>0.21522394545417517</v>
      </c>
      <c r="K32" s="11">
        <f t="shared" si="0"/>
        <v>0.21522394545417517</v>
      </c>
      <c r="L32" s="11">
        <f t="shared" si="0"/>
        <v>0.21522394545417517</v>
      </c>
    </row>
    <row r="33" spans="2:12" ht="15" customHeight="1" x14ac:dyDescent="0.2">
      <c r="B33" t="s">
        <v>27</v>
      </c>
      <c r="D33" s="7">
        <f>D25/C25-1</f>
        <v>0</v>
      </c>
      <c r="E33" s="7">
        <f>E25/D25-1</f>
        <v>-9.52380952380949E-3</v>
      </c>
      <c r="F33" s="7">
        <f>F25/E25-1</f>
        <v>5.7692307692307709E-2</v>
      </c>
      <c r="G33" s="7">
        <f>G25/F25-1</f>
        <v>4.5454545454545414E-2</v>
      </c>
    </row>
    <row r="37" spans="2:12" ht="15" customHeight="1" x14ac:dyDescent="0.2">
      <c r="B37" s="6" t="s">
        <v>28</v>
      </c>
    </row>
    <row r="38" spans="2:12" ht="15" customHeight="1" x14ac:dyDescent="0.2">
      <c r="B38" t="s">
        <v>29</v>
      </c>
      <c r="H38" s="26" t="s">
        <v>6</v>
      </c>
      <c r="I38" s="26"/>
      <c r="J38" s="26"/>
      <c r="K38" s="26"/>
      <c r="L38" s="26"/>
    </row>
    <row r="39" spans="2:12" ht="15" customHeight="1" x14ac:dyDescent="0.2">
      <c r="C39" s="8">
        <f>D39-365</f>
        <v>44228</v>
      </c>
      <c r="D39" s="8">
        <f>E39-365</f>
        <v>44593</v>
      </c>
      <c r="E39" s="8">
        <f>F39-365</f>
        <v>44958</v>
      </c>
      <c r="F39" s="8">
        <f>G39-365</f>
        <v>45323</v>
      </c>
      <c r="G39" s="8">
        <v>45688</v>
      </c>
      <c r="H39" s="8">
        <f>G39+365</f>
        <v>46053</v>
      </c>
      <c r="I39" s="8">
        <f>H39+365</f>
        <v>46418</v>
      </c>
      <c r="J39" s="8">
        <f>I39+365</f>
        <v>46783</v>
      </c>
      <c r="K39" s="8">
        <f>J39+365</f>
        <v>47148</v>
      </c>
      <c r="L39" s="8">
        <f>K39+365</f>
        <v>47513</v>
      </c>
    </row>
    <row r="40" spans="2:12" ht="15" customHeight="1" x14ac:dyDescent="0.2">
      <c r="B40" t="s">
        <v>30</v>
      </c>
      <c r="H40">
        <v>1</v>
      </c>
      <c r="I40">
        <f>H40+1</f>
        <v>2</v>
      </c>
      <c r="J40">
        <f>I40+1</f>
        <v>3</v>
      </c>
      <c r="K40">
        <f>J40+1</f>
        <v>4</v>
      </c>
      <c r="L40">
        <f>K40+1</f>
        <v>5</v>
      </c>
    </row>
    <row r="41" spans="2:12" ht="15" customHeight="1" x14ac:dyDescent="0.2">
      <c r="B41" t="s">
        <v>31</v>
      </c>
      <c r="H41" s="10">
        <f>H10</f>
        <v>1068.2724000000001</v>
      </c>
      <c r="I41" s="10">
        <f>I10</f>
        <v>1305.4288728000001</v>
      </c>
      <c r="J41" s="10">
        <f>J10</f>
        <v>1595.2340825616002</v>
      </c>
      <c r="K41" s="10">
        <f>K10</f>
        <v>1949.3760488902753</v>
      </c>
      <c r="L41" s="10">
        <f>L10</f>
        <v>2382.1375317439165</v>
      </c>
    </row>
    <row r="42" spans="2:12" ht="15" customHeight="1" x14ac:dyDescent="0.2">
      <c r="B42" t="s">
        <v>12</v>
      </c>
      <c r="H42" s="10">
        <f>H14</f>
        <v>149.55813600000002</v>
      </c>
      <c r="I42" s="10">
        <f>I14</f>
        <v>182.76004219200004</v>
      </c>
      <c r="J42" s="10">
        <f>J14</f>
        <v>223.33277155862405</v>
      </c>
      <c r="K42" s="10">
        <f>K14</f>
        <v>272.91264684463857</v>
      </c>
      <c r="L42" s="10">
        <f>L14</f>
        <v>333.49925444414833</v>
      </c>
    </row>
    <row r="43" spans="2:12" ht="15" customHeight="1" x14ac:dyDescent="0.2">
      <c r="B43" t="s">
        <v>32</v>
      </c>
      <c r="H43" s="11">
        <v>0.21</v>
      </c>
      <c r="I43" s="11">
        <v>0.21</v>
      </c>
      <c r="J43" s="11">
        <v>0.21</v>
      </c>
      <c r="K43" s="11">
        <v>0.21</v>
      </c>
      <c r="L43" s="11">
        <v>0.21</v>
      </c>
    </row>
    <row r="44" spans="2:12" ht="15" customHeight="1" x14ac:dyDescent="0.2">
      <c r="B44" t="s">
        <v>33</v>
      </c>
      <c r="H44" s="10">
        <f>H42*(1-H43)</f>
        <v>118.15092744000002</v>
      </c>
      <c r="I44" s="10">
        <f>I42*(1-I43)</f>
        <v>144.38043333168005</v>
      </c>
      <c r="J44" s="10">
        <f>J42*(1-J43)</f>
        <v>176.43288953131301</v>
      </c>
      <c r="K44" s="10">
        <f>K42*(1-K43)</f>
        <v>215.60099100726447</v>
      </c>
      <c r="L44" s="10">
        <f>L42*(1-L43)</f>
        <v>263.4644110108772</v>
      </c>
    </row>
    <row r="45" spans="2:12" ht="15" customHeight="1" x14ac:dyDescent="0.2">
      <c r="B45" t="s">
        <v>14</v>
      </c>
      <c r="H45" s="10">
        <f>H17</f>
        <v>5.313301789395509</v>
      </c>
      <c r="I45" s="10">
        <f>I17</f>
        <v>6.4928547866413124</v>
      </c>
      <c r="J45" s="10">
        <f>J17</f>
        <v>7.9342685492756839</v>
      </c>
      <c r="K45" s="10">
        <f>K17</f>
        <v>9.6956761672148861</v>
      </c>
      <c r="L45" s="10">
        <f>L17</f>
        <v>11.84811627633659</v>
      </c>
    </row>
    <row r="46" spans="2:12" ht="15" customHeight="1" x14ac:dyDescent="0.2">
      <c r="B46" t="s">
        <v>34</v>
      </c>
      <c r="H46" s="10">
        <f t="shared" ref="H46:L47" si="1">-(H23-G23)</f>
        <v>-3.1884113209716105</v>
      </c>
      <c r="I46" s="10">
        <f t="shared" si="1"/>
        <v>-24.350827313255692</v>
      </c>
      <c r="J46" s="10">
        <f t="shared" si="1"/>
        <v>-29.756710976798473</v>
      </c>
      <c r="K46" s="10">
        <f t="shared" si="1"/>
        <v>-36.362700813647706</v>
      </c>
      <c r="L46" s="10">
        <f t="shared" si="1"/>
        <v>-44.435220394277508</v>
      </c>
    </row>
    <row r="47" spans="2:12" ht="15" customHeight="1" x14ac:dyDescent="0.2">
      <c r="B47" t="s">
        <v>35</v>
      </c>
      <c r="H47" s="10">
        <f t="shared" si="1"/>
        <v>0</v>
      </c>
      <c r="I47" s="10">
        <f t="shared" si="1"/>
        <v>0</v>
      </c>
      <c r="J47" s="10">
        <f t="shared" si="1"/>
        <v>0</v>
      </c>
      <c r="K47" s="10">
        <f t="shared" si="1"/>
        <v>0</v>
      </c>
      <c r="L47" s="10">
        <f t="shared" si="1"/>
        <v>0</v>
      </c>
    </row>
    <row r="48" spans="2:12" ht="15" customHeight="1" x14ac:dyDescent="0.2">
      <c r="B48" t="s">
        <v>36</v>
      </c>
      <c r="H48" s="10">
        <f>(H26-G26)</f>
        <v>56.917800747800811</v>
      </c>
      <c r="I48" s="10">
        <f>(I26-H26)</f>
        <v>51.041751766011771</v>
      </c>
      <c r="J48" s="10">
        <f>(J26-I26)</f>
        <v>62.373020658066423</v>
      </c>
      <c r="K48" s="10">
        <f>(K26-J26)</f>
        <v>76.219831244157149</v>
      </c>
      <c r="L48" s="10">
        <f>(L26-K26)</f>
        <v>93.14063378036002</v>
      </c>
    </row>
    <row r="50" spans="2:14" ht="15" customHeight="1" x14ac:dyDescent="0.2">
      <c r="B50" t="s">
        <v>37</v>
      </c>
      <c r="H50" s="10">
        <f>-H28</f>
        <v>-6.587826687354692</v>
      </c>
      <c r="I50" s="10">
        <f>-I28</f>
        <v>-8.0503242119474336</v>
      </c>
      <c r="J50" s="10">
        <f>-J28</f>
        <v>-9.8374961869997648</v>
      </c>
      <c r="K50" s="10">
        <f>-K28</f>
        <v>-12.021420340513712</v>
      </c>
      <c r="L50" s="10">
        <f>-L28</f>
        <v>-14.690175656107757</v>
      </c>
      <c r="N50" t="s">
        <v>38</v>
      </c>
    </row>
    <row r="51" spans="2:14" ht="15" customHeight="1" x14ac:dyDescent="0.2">
      <c r="B51" t="s">
        <v>39</v>
      </c>
      <c r="H51" s="10">
        <f>SUM(H44:H50)</f>
        <v>170.60579196887002</v>
      </c>
      <c r="I51" s="10">
        <f>SUM(I44:I50)</f>
        <v>169.51388835913002</v>
      </c>
      <c r="J51" s="10">
        <f>SUM(J44:J50)</f>
        <v>207.14597157485687</v>
      </c>
      <c r="K51" s="10">
        <f>SUM(K44:K50)</f>
        <v>253.13237726447505</v>
      </c>
      <c r="L51" s="10">
        <f>SUM(L44:L50)</f>
        <v>309.32776501718854</v>
      </c>
      <c r="N51" s="7">
        <f>L51/K51-1</f>
        <v>0.2220000000000002</v>
      </c>
    </row>
    <row r="52" spans="2:14" ht="15" customHeight="1" x14ac:dyDescent="0.2">
      <c r="B52" t="s">
        <v>40</v>
      </c>
      <c r="H52" s="7">
        <f>$C$86</f>
        <v>7.5559999999999988E-2</v>
      </c>
      <c r="I52" s="7">
        <f>$C$86</f>
        <v>7.5559999999999988E-2</v>
      </c>
      <c r="J52" s="7">
        <f>$C$86</f>
        <v>7.5559999999999988E-2</v>
      </c>
      <c r="K52" s="7">
        <f>$C$86</f>
        <v>7.5559999999999988E-2</v>
      </c>
      <c r="L52" s="7">
        <f>$C$86</f>
        <v>7.5559999999999988E-2</v>
      </c>
    </row>
    <row r="53" spans="2:14" ht="15" customHeight="1" x14ac:dyDescent="0.2">
      <c r="B53" t="s">
        <v>41</v>
      </c>
      <c r="H53" s="10">
        <f>H51/(1+H52)^H40</f>
        <v>158.62043211803154</v>
      </c>
      <c r="I53" s="10">
        <f>I51/(1+I52)^I40</f>
        <v>146.53318892102632</v>
      </c>
      <c r="J53" s="10">
        <f>J51/(1+J52)^J40</f>
        <v>166.48402400748833</v>
      </c>
      <c r="K53" s="10">
        <f>K51/(1+K52)^K40</f>
        <v>189.15121177540138</v>
      </c>
      <c r="L53" s="10">
        <f>L51/(1+L52)^L40</f>
        <v>214.90458997130844</v>
      </c>
    </row>
    <row r="54" spans="2:14" ht="15" customHeight="1" x14ac:dyDescent="0.2">
      <c r="B54" t="s">
        <v>42</v>
      </c>
      <c r="C54" s="14">
        <f>SUM(H53:L53)</f>
        <v>875.69344679325604</v>
      </c>
    </row>
    <row r="56" spans="2:14" ht="15" customHeight="1" x14ac:dyDescent="0.2">
      <c r="B56" s="6" t="s">
        <v>43</v>
      </c>
    </row>
    <row r="57" spans="2:14" ht="15" customHeight="1" x14ac:dyDescent="0.2">
      <c r="B57" t="s">
        <v>44</v>
      </c>
    </row>
    <row r="58" spans="2:14" ht="15" customHeight="1" x14ac:dyDescent="0.2">
      <c r="B58" t="s">
        <v>45</v>
      </c>
      <c r="C58" s="15">
        <v>3.5000000000000003E-2</v>
      </c>
    </row>
    <row r="59" spans="2:14" ht="15" customHeight="1" x14ac:dyDescent="0.2">
      <c r="B59" t="s">
        <v>46</v>
      </c>
      <c r="C59" s="12">
        <f>C86</f>
        <v>7.5559999999999988E-2</v>
      </c>
    </row>
    <row r="60" spans="2:14" ht="15" customHeight="1" x14ac:dyDescent="0.2">
      <c r="B60" t="s">
        <v>47</v>
      </c>
      <c r="C60" s="14">
        <f>L51*(1+C58)</f>
        <v>320.15423679279013</v>
      </c>
    </row>
    <row r="61" spans="2:14" ht="15" customHeight="1" x14ac:dyDescent="0.2">
      <c r="B61" t="s">
        <v>43</v>
      </c>
      <c r="C61" s="14">
        <f>C60/(C59-C58)</f>
        <v>7893.3490333528171</v>
      </c>
    </row>
    <row r="62" spans="2:14" ht="15" customHeight="1" x14ac:dyDescent="0.2">
      <c r="B62" t="s">
        <v>48</v>
      </c>
      <c r="C62" s="14">
        <f>C61/(1+L52)^L40</f>
        <v>5483.8819186465562</v>
      </c>
    </row>
    <row r="67" spans="2:3" ht="15" customHeight="1" x14ac:dyDescent="0.2">
      <c r="B67" s="6" t="s">
        <v>46</v>
      </c>
    </row>
    <row r="68" spans="2:3" ht="15" customHeight="1" x14ac:dyDescent="0.2">
      <c r="B68" t="s">
        <v>49</v>
      </c>
      <c r="C68" s="16">
        <f>F4</f>
        <v>575.16</v>
      </c>
    </row>
    <row r="69" spans="2:3" ht="15" customHeight="1" x14ac:dyDescent="0.2">
      <c r="B69" t="s">
        <v>4</v>
      </c>
      <c r="C69" s="16">
        <f>F5</f>
        <v>13.95</v>
      </c>
    </row>
    <row r="70" spans="2:3" ht="15" customHeight="1" x14ac:dyDescent="0.2">
      <c r="B70" t="s">
        <v>50</v>
      </c>
      <c r="C70" s="15">
        <v>0</v>
      </c>
    </row>
    <row r="71" spans="2:3" ht="15" customHeight="1" x14ac:dyDescent="0.2">
      <c r="B71" t="s">
        <v>51</v>
      </c>
      <c r="C71" s="12">
        <f>H43</f>
        <v>0.21</v>
      </c>
    </row>
    <row r="72" spans="2:3" ht="15" customHeight="1" x14ac:dyDescent="0.2">
      <c r="B72" t="s">
        <v>52</v>
      </c>
      <c r="C72" s="12">
        <f>C70*(1-C71)</f>
        <v>0</v>
      </c>
    </row>
    <row r="73" spans="2:3" ht="15" customHeight="1" x14ac:dyDescent="0.2">
      <c r="B73" t="s">
        <v>53</v>
      </c>
      <c r="C73" s="12">
        <f>C74+C77*C75</f>
        <v>7.5559999999999988E-2</v>
      </c>
    </row>
    <row r="74" spans="2:3" ht="15" customHeight="1" x14ac:dyDescent="0.2">
      <c r="B74" t="s">
        <v>54</v>
      </c>
      <c r="C74" s="15">
        <v>4.1000000000000002E-2</v>
      </c>
    </row>
    <row r="75" spans="2:3" ht="15" customHeight="1" x14ac:dyDescent="0.2">
      <c r="B75" t="s">
        <v>55</v>
      </c>
      <c r="C75" s="15">
        <v>5.3999999999999999E-2</v>
      </c>
    </row>
    <row r="76" spans="2:3" ht="15" customHeight="1" x14ac:dyDescent="0.2">
      <c r="B76" t="s">
        <v>56</v>
      </c>
      <c r="C76" s="5">
        <v>0.46</v>
      </c>
    </row>
    <row r="77" spans="2:3" ht="15" customHeight="1" x14ac:dyDescent="0.2">
      <c r="B77" t="s">
        <v>57</v>
      </c>
      <c r="C77" s="16">
        <f>2/3*C76+1/3</f>
        <v>0.6399999999999999</v>
      </c>
    </row>
    <row r="79" spans="2:3" ht="15" customHeight="1" x14ac:dyDescent="0.2">
      <c r="B79" t="s">
        <v>58</v>
      </c>
      <c r="C79" s="17">
        <v>0</v>
      </c>
    </row>
    <row r="80" spans="2:3" ht="15" customHeight="1" x14ac:dyDescent="0.2">
      <c r="B80" t="s">
        <v>59</v>
      </c>
      <c r="C80" s="14">
        <f>C68*C69</f>
        <v>8023.4819999999991</v>
      </c>
    </row>
    <row r="81" spans="2:6" ht="15" customHeight="1" x14ac:dyDescent="0.2">
      <c r="B81" t="s">
        <v>60</v>
      </c>
      <c r="C81" s="14">
        <f>C79+C80</f>
        <v>8023.4819999999991</v>
      </c>
    </row>
    <row r="83" spans="2:6" ht="15" customHeight="1" x14ac:dyDescent="0.2">
      <c r="B83" t="s">
        <v>61</v>
      </c>
      <c r="C83" s="12">
        <f>C79/C81</f>
        <v>0</v>
      </c>
    </row>
    <row r="84" spans="2:6" ht="15" customHeight="1" x14ac:dyDescent="0.2">
      <c r="B84" t="s">
        <v>62</v>
      </c>
      <c r="C84" s="12">
        <f>C80/C81</f>
        <v>1</v>
      </c>
    </row>
    <row r="86" spans="2:6" ht="15" customHeight="1" x14ac:dyDescent="0.2">
      <c r="B86" s="18" t="s">
        <v>63</v>
      </c>
      <c r="C86" s="19">
        <f>C84*C73+C83*C72</f>
        <v>7.5559999999999988E-2</v>
      </c>
    </row>
    <row r="88" spans="2:6" ht="15" customHeight="1" x14ac:dyDescent="0.2">
      <c r="B88" s="6" t="s">
        <v>64</v>
      </c>
    </row>
    <row r="89" spans="2:6" ht="15" customHeight="1" x14ac:dyDescent="0.2">
      <c r="B89" t="s">
        <v>65</v>
      </c>
      <c r="F89" s="14">
        <f>C62+SUM(H53:L53)</f>
        <v>6359.5753654398122</v>
      </c>
    </row>
    <row r="90" spans="2:6" ht="15" customHeight="1" x14ac:dyDescent="0.2">
      <c r="B90" t="s">
        <v>66</v>
      </c>
      <c r="F90" s="14">
        <f>C79</f>
        <v>0</v>
      </c>
    </row>
    <row r="91" spans="2:6" ht="15" customHeight="1" x14ac:dyDescent="0.2">
      <c r="B91" t="s">
        <v>67</v>
      </c>
      <c r="F91" s="20">
        <v>895</v>
      </c>
    </row>
    <row r="92" spans="2:6" ht="15" customHeight="1" x14ac:dyDescent="0.2">
      <c r="B92" t="s">
        <v>68</v>
      </c>
      <c r="F92" s="14">
        <f>F89-F90+F91</f>
        <v>7254.5753654398122</v>
      </c>
    </row>
    <row r="93" spans="2:6" ht="15" customHeight="1" x14ac:dyDescent="0.2">
      <c r="B93" t="s">
        <v>4</v>
      </c>
      <c r="F93" s="16">
        <f>C69</f>
        <v>13.95</v>
      </c>
    </row>
    <row r="94" spans="2:6" ht="15" customHeight="1" x14ac:dyDescent="0.2">
      <c r="B94" s="18" t="s">
        <v>69</v>
      </c>
      <c r="F94" s="21">
        <f>F92/F93</f>
        <v>520.04124483439512</v>
      </c>
    </row>
    <row r="98" spans="2:8" ht="15" customHeight="1" x14ac:dyDescent="0.2">
      <c r="B98" s="18" t="s">
        <v>70</v>
      </c>
    </row>
    <row r="99" spans="2:8" ht="15" customHeight="1" x14ac:dyDescent="0.2">
      <c r="B99" t="s">
        <v>71</v>
      </c>
    </row>
    <row r="100" spans="2:8" ht="15" customHeight="1" x14ac:dyDescent="0.2">
      <c r="C100" s="22" t="s">
        <v>72</v>
      </c>
      <c r="D100" s="23">
        <v>0.182</v>
      </c>
      <c r="E100" s="23">
        <v>0.20200000000000001</v>
      </c>
      <c r="F100" s="23">
        <v>0.222</v>
      </c>
      <c r="G100" s="23">
        <v>0.24199999999999999</v>
      </c>
      <c r="H100" s="23">
        <v>0.26200000000000001</v>
      </c>
    </row>
    <row r="101" spans="2:8" ht="15" customHeight="1" x14ac:dyDescent="0.2">
      <c r="C101" s="23">
        <v>0.16</v>
      </c>
      <c r="D101" s="24">
        <v>491.45</v>
      </c>
      <c r="E101" s="24">
        <v>531.84</v>
      </c>
      <c r="F101" s="24">
        <v>575.25</v>
      </c>
      <c r="G101" s="24">
        <v>621.85</v>
      </c>
      <c r="H101" s="24">
        <v>671.79</v>
      </c>
    </row>
    <row r="102" spans="2:8" ht="15" customHeight="1" x14ac:dyDescent="0.2">
      <c r="C102" s="23">
        <v>0.15</v>
      </c>
      <c r="D102" s="24">
        <v>467.88</v>
      </c>
      <c r="E102" s="24">
        <v>506.32</v>
      </c>
      <c r="F102" s="24">
        <v>547.65</v>
      </c>
      <c r="G102" s="24">
        <v>592.02</v>
      </c>
      <c r="H102" s="24">
        <v>639.59</v>
      </c>
    </row>
    <row r="103" spans="2:8" ht="15" customHeight="1" x14ac:dyDescent="0.2">
      <c r="C103" s="23">
        <v>0.14000000000000001</v>
      </c>
      <c r="D103" s="24">
        <v>444.32</v>
      </c>
      <c r="E103" s="24">
        <v>480.8</v>
      </c>
      <c r="F103" s="25">
        <v>520</v>
      </c>
      <c r="G103" s="24">
        <v>562.19000000000005</v>
      </c>
      <c r="H103" s="24">
        <v>607.4</v>
      </c>
    </row>
    <row r="104" spans="2:8" ht="15" customHeight="1" x14ac:dyDescent="0.2">
      <c r="C104" s="23">
        <v>0.13</v>
      </c>
      <c r="D104" s="24">
        <v>420.75</v>
      </c>
      <c r="E104" s="24">
        <v>455.28</v>
      </c>
      <c r="F104" s="24">
        <v>492.44</v>
      </c>
      <c r="G104" s="24">
        <v>532.36</v>
      </c>
      <c r="H104" s="24">
        <v>575.20000000000005</v>
      </c>
    </row>
    <row r="105" spans="2:8" ht="15" customHeight="1" x14ac:dyDescent="0.2">
      <c r="C105" s="23">
        <v>0.12</v>
      </c>
      <c r="D105" s="24">
        <v>397.19</v>
      </c>
      <c r="E105" s="24">
        <v>429.76</v>
      </c>
      <c r="F105" s="24">
        <v>464.83</v>
      </c>
      <c r="G105" s="24">
        <v>502.53</v>
      </c>
      <c r="H105" s="24">
        <v>543</v>
      </c>
    </row>
    <row r="108" spans="2:8" ht="15" customHeight="1" x14ac:dyDescent="0.2">
      <c r="B108" s="18" t="s">
        <v>73</v>
      </c>
    </row>
    <row r="109" spans="2:8" ht="15" customHeight="1" x14ac:dyDescent="0.2">
      <c r="B109" t="s">
        <v>74</v>
      </c>
    </row>
    <row r="110" spans="2:8" ht="15" customHeight="1" x14ac:dyDescent="0.2">
      <c r="B110" t="s">
        <v>75</v>
      </c>
    </row>
    <row r="111" spans="2:8" ht="15" customHeight="1" x14ac:dyDescent="0.2">
      <c r="B111" t="s">
        <v>76</v>
      </c>
    </row>
    <row r="112" spans="2:8" ht="15" customHeight="1" x14ac:dyDescent="0.2">
      <c r="B112" t="s">
        <v>77</v>
      </c>
    </row>
    <row r="113" spans="2:2" ht="15" customHeight="1" x14ac:dyDescent="0.2">
      <c r="B113" t="s">
        <v>78</v>
      </c>
    </row>
    <row r="114" spans="2:2" ht="15" customHeight="1" x14ac:dyDescent="0.2">
      <c r="B114" t="s">
        <v>79</v>
      </c>
    </row>
    <row r="115" spans="2:2" ht="15" customHeight="1" x14ac:dyDescent="0.2">
      <c r="B115" t="s">
        <v>80</v>
      </c>
    </row>
    <row r="116" spans="2:2" ht="15" customHeight="1" x14ac:dyDescent="0.2">
      <c r="B116" t="s">
        <v>81</v>
      </c>
    </row>
  </sheetData>
  <mergeCells count="3">
    <mergeCell ref="H8:L8"/>
    <mergeCell ref="H21:L21"/>
    <mergeCell ref="H38:L38"/>
  </mergeCells>
  <conditionalFormatting sqref="D101:H10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FCF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Joe Marfisi</cp:lastModifiedBy>
  <cp:revision>0</cp:revision>
  <dcterms:created xsi:type="dcterms:W3CDTF">2026-07-09T13:19:40Z</dcterms:created>
  <dcterms:modified xsi:type="dcterms:W3CDTF">2026-07-15T15:29:39Z</dcterms:modified>
  <dc:language>en-US</dc:language>
</cp:coreProperties>
</file>