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joesairbook/Downloads/"/>
    </mc:Choice>
  </mc:AlternateContent>
  <xr:revisionPtr revIDLastSave="0" documentId="13_ncr:1_{A87DF29E-40FE-2343-AC82-05D21D868722}" xr6:coauthVersionLast="47" xr6:coauthVersionMax="47" xr10:uidLastSave="{00000000-0000-0000-0000-000000000000}"/>
  <bookViews>
    <workbookView xWindow="0" yWindow="500" windowWidth="24420" windowHeight="15140" tabRatio="500" xr2:uid="{00000000-000D-0000-FFFF-FFFF00000000}"/>
  </bookViews>
  <sheets>
    <sheet name="FCF Model" sheetId="1" r:id="rId1"/>
    <sheet name="Loglinear reveiw" sheetId="2" r:id="rId2"/>
    <sheet name="Revenue" sheetId="3" r:id="rId3"/>
    <sheet name="Payables_Chart" sheetId="4" r:id="rId4"/>
    <sheet name="Inventories_Chart" sheetId="5" r:id="rId5"/>
    <sheet name="ar_Chart" sheetId="6" r:id="rId6"/>
  </sheets>
  <definedNames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GROWTH_1YR" hidden="1">"c1636"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" i="3" l="1"/>
  <c r="G2" i="3" s="1"/>
  <c r="H2" i="3" s="1"/>
  <c r="I2" i="3" s="1"/>
  <c r="J2" i="3" s="1"/>
  <c r="F93" i="1"/>
  <c r="F90" i="1"/>
  <c r="C80" i="1"/>
  <c r="C73" i="1"/>
  <c r="C71" i="1"/>
  <c r="C72" i="1" s="1"/>
  <c r="I40" i="1"/>
  <c r="J40" i="1" s="1"/>
  <c r="K40" i="1" s="1"/>
  <c r="L40" i="1" s="1"/>
  <c r="H39" i="1"/>
  <c r="I39" i="1" s="1"/>
  <c r="J39" i="1" s="1"/>
  <c r="K39" i="1" s="1"/>
  <c r="L39" i="1" s="1"/>
  <c r="F39" i="1"/>
  <c r="E39" i="1"/>
  <c r="D39" i="1" s="1"/>
  <c r="C39" i="1" s="1"/>
  <c r="G33" i="1"/>
  <c r="F33" i="1"/>
  <c r="E33" i="1"/>
  <c r="D33" i="1"/>
  <c r="H32" i="1"/>
  <c r="I32" i="1" s="1"/>
  <c r="J32" i="1" s="1"/>
  <c r="K32" i="1" s="1"/>
  <c r="L32" i="1" s="1"/>
  <c r="G32" i="1"/>
  <c r="F32" i="1"/>
  <c r="E32" i="1"/>
  <c r="D32" i="1"/>
  <c r="C32" i="1"/>
  <c r="H31" i="1"/>
  <c r="I31" i="1" s="1"/>
  <c r="J31" i="1" s="1"/>
  <c r="K31" i="1" s="1"/>
  <c r="L31" i="1" s="1"/>
  <c r="G31" i="1"/>
  <c r="F31" i="1"/>
  <c r="E31" i="1"/>
  <c r="D31" i="1"/>
  <c r="C31" i="1"/>
  <c r="H30" i="1"/>
  <c r="I30" i="1" s="1"/>
  <c r="J30" i="1" s="1"/>
  <c r="K30" i="1" s="1"/>
  <c r="L30" i="1" s="1"/>
  <c r="G30" i="1"/>
  <c r="F30" i="1"/>
  <c r="E30" i="1"/>
  <c r="D30" i="1"/>
  <c r="C30" i="1"/>
  <c r="G29" i="1"/>
  <c r="H29" i="1" s="1"/>
  <c r="F29" i="1"/>
  <c r="E29" i="1"/>
  <c r="D29" i="1"/>
  <c r="C29" i="1"/>
  <c r="H22" i="1"/>
  <c r="I22" i="1" s="1"/>
  <c r="J22" i="1" s="1"/>
  <c r="K22" i="1" s="1"/>
  <c r="L22" i="1" s="1"/>
  <c r="F22" i="1"/>
  <c r="E22" i="1" s="1"/>
  <c r="D22" i="1" s="1"/>
  <c r="C22" i="1" s="1"/>
  <c r="H19" i="1"/>
  <c r="G19" i="1"/>
  <c r="F19" i="1"/>
  <c r="E19" i="1"/>
  <c r="D19" i="1"/>
  <c r="I15" i="1"/>
  <c r="J15" i="1" s="1"/>
  <c r="G15" i="1"/>
  <c r="F15" i="1"/>
  <c r="E15" i="1"/>
  <c r="D15" i="1"/>
  <c r="C15" i="1"/>
  <c r="S14" i="1"/>
  <c r="R14" i="1"/>
  <c r="Q14" i="1"/>
  <c r="P14" i="1"/>
  <c r="O14" i="1"/>
  <c r="G13" i="1"/>
  <c r="F13" i="1"/>
  <c r="E13" i="1"/>
  <c r="D13" i="1"/>
  <c r="C13" i="1"/>
  <c r="I11" i="1"/>
  <c r="J11" i="1" s="1"/>
  <c r="K11" i="1" s="1"/>
  <c r="L11" i="1" s="1"/>
  <c r="G11" i="1"/>
  <c r="G12" i="1" s="1"/>
  <c r="F11" i="1"/>
  <c r="F12" i="1" s="1"/>
  <c r="E11" i="1"/>
  <c r="E12" i="1" s="1"/>
  <c r="D11" i="1"/>
  <c r="D12" i="1" s="1"/>
  <c r="H10" i="1"/>
  <c r="H9" i="1"/>
  <c r="I9" i="1" s="1"/>
  <c r="J9" i="1" s="1"/>
  <c r="K9" i="1" s="1"/>
  <c r="L9" i="1" s="1"/>
  <c r="F9" i="1"/>
  <c r="E9" i="1" s="1"/>
  <c r="D9" i="1" s="1"/>
  <c r="C9" i="1" s="1"/>
  <c r="C81" i="1" l="1"/>
  <c r="I29" i="1"/>
  <c r="J29" i="1" s="1"/>
  <c r="K29" i="1" s="1"/>
  <c r="L29" i="1" s="1"/>
  <c r="H28" i="1"/>
  <c r="H17" i="1"/>
  <c r="I19" i="1"/>
  <c r="J19" i="1" s="1"/>
  <c r="K19" i="1" s="1"/>
  <c r="L19" i="1" s="1"/>
  <c r="K15" i="1"/>
  <c r="I10" i="1"/>
  <c r="H14" i="1"/>
  <c r="H42" i="1" s="1"/>
  <c r="H44" i="1" s="1"/>
  <c r="H23" i="1"/>
  <c r="H46" i="1" s="1"/>
  <c r="H24" i="1"/>
  <c r="H47" i="1" s="1"/>
  <c r="H26" i="1"/>
  <c r="H48" i="1" s="1"/>
  <c r="I28" i="1" l="1"/>
  <c r="H50" i="1"/>
  <c r="H51" i="1" s="1"/>
  <c r="L15" i="1"/>
  <c r="J10" i="1"/>
  <c r="I14" i="1"/>
  <c r="I42" i="1" s="1"/>
  <c r="I44" i="1" s="1"/>
  <c r="I23" i="1"/>
  <c r="I46" i="1" s="1"/>
  <c r="I24" i="1"/>
  <c r="I47" i="1" s="1"/>
  <c r="I26" i="1"/>
  <c r="I48" i="1" s="1"/>
  <c r="I17" i="1"/>
  <c r="J17" i="1" s="1"/>
  <c r="K17" i="1" s="1"/>
  <c r="L17" i="1" s="1"/>
  <c r="C83" i="1"/>
  <c r="C84" i="1"/>
  <c r="C86" i="1" s="1"/>
  <c r="J28" i="1" l="1"/>
  <c r="I50" i="1"/>
  <c r="I51" i="1" s="1"/>
  <c r="I53" i="1" s="1"/>
  <c r="J14" i="1"/>
  <c r="J42" i="1" s="1"/>
  <c r="J44" i="1" s="1"/>
  <c r="K10" i="1"/>
  <c r="J23" i="1"/>
  <c r="J46" i="1" s="1"/>
  <c r="J24" i="1"/>
  <c r="J47" i="1" s="1"/>
  <c r="J26" i="1"/>
  <c r="J48" i="1" s="1"/>
  <c r="L52" i="1"/>
  <c r="J52" i="1"/>
  <c r="I52" i="1"/>
  <c r="H52" i="1"/>
  <c r="H53" i="1" s="1"/>
  <c r="K52" i="1"/>
  <c r="C59" i="1"/>
  <c r="K28" i="1" l="1"/>
  <c r="J50" i="1"/>
  <c r="J51" i="1" s="1"/>
  <c r="J53" i="1" s="1"/>
  <c r="K14" i="1"/>
  <c r="K42" i="1" s="1"/>
  <c r="K44" i="1" s="1"/>
  <c r="L10" i="1"/>
  <c r="K23" i="1"/>
  <c r="K46" i="1" s="1"/>
  <c r="K24" i="1"/>
  <c r="K47" i="1" s="1"/>
  <c r="K26" i="1"/>
  <c r="K48" i="1" s="1"/>
  <c r="L28" i="1" l="1"/>
  <c r="K50" i="1"/>
  <c r="K51" i="1" s="1"/>
  <c r="K53" i="1" s="1"/>
  <c r="L14" i="1"/>
  <c r="L42" i="1" s="1"/>
  <c r="L44" i="1" s="1"/>
  <c r="L23" i="1"/>
  <c r="L46" i="1" s="1"/>
  <c r="L24" i="1"/>
  <c r="L47" i="1" s="1"/>
  <c r="L26" i="1"/>
  <c r="L48" i="1" s="1"/>
  <c r="E101" i="1"/>
  <c r="E103" i="1" l="1"/>
  <c r="D104" i="1"/>
  <c r="H101" i="1"/>
  <c r="L50" i="1"/>
  <c r="L51" i="1" s="1"/>
  <c r="G104" i="1"/>
  <c r="E104" i="1"/>
  <c r="E102" i="1"/>
  <c r="H103" i="1"/>
  <c r="F104" i="1"/>
  <c r="G105" i="1"/>
  <c r="D105" i="1"/>
  <c r="F103" i="1"/>
  <c r="F101" i="1"/>
  <c r="F105" i="1"/>
  <c r="D103" i="1"/>
  <c r="D101" i="1"/>
  <c r="D102" i="1"/>
  <c r="E105" i="1"/>
  <c r="F102" i="1"/>
  <c r="H105" i="1"/>
  <c r="H104" i="1"/>
  <c r="G103" i="1"/>
  <c r="G102" i="1"/>
  <c r="G101" i="1"/>
  <c r="H102" i="1"/>
  <c r="N51" i="1" l="1"/>
  <c r="C63" i="1"/>
  <c r="C64" i="1" s="1"/>
  <c r="C60" i="1"/>
  <c r="C61" i="1" s="1"/>
  <c r="C62" i="1" s="1"/>
  <c r="L53" i="1"/>
  <c r="C54" i="1" s="1"/>
  <c r="F89" i="1" l="1"/>
  <c r="F92" i="1" s="1"/>
  <c r="F9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30" authorId="0" shapeId="0" xr:uid="{00000000-0006-0000-0000-000001000000}">
      <text>
        <r>
          <rPr>
            <sz val="10"/>
            <rFont val="Arial"/>
            <family val="2"/>
          </rPr>
          <t>AR held at base-year % of revenue (~14.9%). Original assumption grew AR ~13%/yr vs 5.8% revenue, ballooning WC unrealistically. Corrected.</t>
        </r>
      </text>
    </comment>
    <comment ref="B31" authorId="0" shapeId="0" xr:uid="{00000000-0006-0000-0000-000002000000}">
      <text>
        <r>
          <rPr>
            <sz val="10"/>
            <rFont val="Arial"/>
            <family val="2"/>
          </rPr>
          <t>Inventory held at base-year % of revenue (~16.1%). Corrected from runaway ~18%/yr growth.</t>
        </r>
      </text>
    </comment>
    <comment ref="B46" authorId="0" shapeId="0" xr:uid="{00000000-0006-0000-0000-000003000000}">
      <text>
        <r>
          <rPr>
            <sz val="10"/>
            <rFont val="Arial"/>
            <family val="2"/>
          </rPr>
          <t>Increase in AR is a use of cash -&gt; subtracted. Sign corrected.</t>
        </r>
      </text>
    </comment>
    <comment ref="B50" authorId="0" shapeId="0" xr:uid="{00000000-0006-0000-0000-000004000000}">
      <text>
        <r>
          <rPr>
            <sz val="10"/>
            <rFont val="Arial"/>
            <family val="2"/>
          </rPr>
          <t>Capex is a cash outflow -&gt; subtracted. Sign corrected.</t>
        </r>
      </text>
    </comment>
    <comment ref="C69" authorId="0" shapeId="0" xr:uid="{00000000-0006-0000-0000-000005000000}">
      <text>
        <r>
          <rPr>
            <sz val="10"/>
            <color rgb="FF000000"/>
            <rFont val="Arial"/>
            <family val="2"/>
          </rPr>
          <t>Diluted shares in millions (~1,340mm). Source: RTX 10-K FY2024. Corrected from 1.34077 (billions) for unit consistency.</t>
        </r>
      </text>
    </comment>
    <comment ref="C79" authorId="0" shapeId="0" xr:uid="{00000000-0006-0000-0000-000006000000}">
      <text>
        <r>
          <rPr>
            <sz val="10"/>
            <color rgb="FF000000"/>
            <rFont val="Arial"/>
            <family val="2"/>
          </rPr>
          <t>Total debt in $mm (~$43,500mm). Source: RTX 10-K FY2024 balance sheet. Corrected from 100 for unit consistency.</t>
        </r>
      </text>
    </comment>
    <comment ref="F89" authorId="0" shapeId="0" xr:uid="{00000000-0006-0000-0000-000007000000}">
      <text>
        <r>
          <rPr>
            <sz val="10"/>
            <rFont val="Arial"/>
            <family val="2"/>
          </rPr>
          <t>EV = PV of explicit FCFs + PV of terminal value (Gordon Growth). Removed H-model add-on to avoid double-counting terminal value.</t>
        </r>
      </text>
    </comment>
    <comment ref="F90" authorId="0" shapeId="0" xr:uid="{00000000-0006-0000-0000-000008000000}">
      <text>
        <r>
          <rPr>
            <sz val="10"/>
            <rFont val="Arial"/>
            <family val="2"/>
          </rPr>
          <t>Net debt in $mm. Corrected: removed x1000 multiplier now that C79 is in millions.</t>
        </r>
      </text>
    </comment>
  </commentList>
</comments>
</file>

<file path=xl/sharedStrings.xml><?xml version="1.0" encoding="utf-8"?>
<sst xmlns="http://schemas.openxmlformats.org/spreadsheetml/2006/main" count="116" uniqueCount="107">
  <si>
    <t>Valuation Date:</t>
  </si>
  <si>
    <t>absolute numbers are in millions of $</t>
  </si>
  <si>
    <t>Share Price on Valuation Date:</t>
  </si>
  <si>
    <t>Diluted Shares Outstanding</t>
  </si>
  <si>
    <t>Select Operating Data</t>
  </si>
  <si>
    <t>Projected Annual Forecast</t>
  </si>
  <si>
    <t>geometric</t>
  </si>
  <si>
    <t>Revenue</t>
  </si>
  <si>
    <t>Revenue Growth Rate (%)</t>
  </si>
  <si>
    <t>other operating exp</t>
  </si>
  <si>
    <t>In Revenue</t>
  </si>
  <si>
    <t>EBIT</t>
  </si>
  <si>
    <t>sum</t>
  </si>
  <si>
    <t>EBIT Margin (%)</t>
  </si>
  <si>
    <t xml:space="preserve">Depreciation &amp; Amortization </t>
  </si>
  <si>
    <t>D&amp;A as a % of revenue</t>
  </si>
  <si>
    <t>D&amp;A as growth rate</t>
  </si>
  <si>
    <t>Select Balance Sheet And Other Data</t>
  </si>
  <si>
    <t>Accounts Receivable</t>
  </si>
  <si>
    <t>Inventories</t>
  </si>
  <si>
    <t>pp&amp;e</t>
  </si>
  <si>
    <t>Accounts Payable and accured</t>
  </si>
  <si>
    <t>Capital Expenditures</t>
  </si>
  <si>
    <t>Capital Expenditures Growth (%)</t>
  </si>
  <si>
    <t>Accounts Receivable Growth (%)</t>
  </si>
  <si>
    <t>Inventories Growth (%)</t>
  </si>
  <si>
    <t>payables and accurals as a % of revenue</t>
  </si>
  <si>
    <t>pp&amp;e growth</t>
  </si>
  <si>
    <t>Accrued Expenses Growth (%)</t>
  </si>
  <si>
    <t>Free Cash Flow Buildup</t>
  </si>
  <si>
    <t>$mm</t>
  </si>
  <si>
    <t>Period</t>
  </si>
  <si>
    <t>Total Revenues</t>
  </si>
  <si>
    <t>Tax rate</t>
  </si>
  <si>
    <t>EBIAT</t>
  </si>
  <si>
    <t>Depreciation &amp; Amortization</t>
  </si>
  <si>
    <t>Chg in Accounts receivable</t>
  </si>
  <si>
    <t>Chg in Inventories</t>
  </si>
  <si>
    <t>Chg in Accounts payable and accurals</t>
  </si>
  <si>
    <t>Capital expenditures</t>
  </si>
  <si>
    <t>year 5 fcf growth rate</t>
  </si>
  <si>
    <t>Unlevered free cash flows</t>
  </si>
  <si>
    <t>Discount Rate (WACC)</t>
  </si>
  <si>
    <t>Present value of free cash flows</t>
  </si>
  <si>
    <t>Sum of present values of FCFs</t>
  </si>
  <si>
    <t>Terminal Value</t>
  </si>
  <si>
    <t>Growth in perpetuity method:</t>
  </si>
  <si>
    <t>Long term growth rate</t>
  </si>
  <si>
    <t>WACC</t>
  </si>
  <si>
    <t>Free cash flow (t+1)</t>
  </si>
  <si>
    <t>Present Value of Terminal Value</t>
  </si>
  <si>
    <t>Terminal Value plus (H-model)</t>
  </si>
  <si>
    <t>Present Value of Terminal Value plus (H-model)</t>
  </si>
  <si>
    <t>years of extraordinary growth</t>
  </si>
  <si>
    <t>Share Price</t>
  </si>
  <si>
    <t>Cost of Debt</t>
  </si>
  <si>
    <t>Tax Rate</t>
  </si>
  <si>
    <t>After-tax Cost of Debt</t>
  </si>
  <si>
    <t>Cost of Equity</t>
  </si>
  <si>
    <t>risk-free rate</t>
  </si>
  <si>
    <t>market risk premium</t>
  </si>
  <si>
    <t>beta</t>
  </si>
  <si>
    <t>adjusted beta</t>
  </si>
  <si>
    <t>Total Debt ($)</t>
  </si>
  <si>
    <t>Total Equity ($)</t>
  </si>
  <si>
    <t>Total Capital</t>
  </si>
  <si>
    <t>Debt Weighting</t>
  </si>
  <si>
    <t>Equity Weighting</t>
  </si>
  <si>
    <t>WACC =</t>
  </si>
  <si>
    <t>Enterprise Value to Equity Value</t>
  </si>
  <si>
    <t>Enterprise Value</t>
  </si>
  <si>
    <t>Less: Net debt</t>
  </si>
  <si>
    <t>Plus: Cash</t>
  </si>
  <si>
    <t>Equity Value</t>
  </si>
  <si>
    <t>Equity Value Per Share</t>
  </si>
  <si>
    <t>SENSITIVITY ANALYSIS — Implied Value per Share ($)</t>
  </si>
  <si>
    <t>Rows: EBIT Margin  |  Columns: Revenue Growth (annual)</t>
  </si>
  <si>
    <t>EBIT Mgn \ Rev Gr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</si>
  <si>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</si>
  <si>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</si>
  <si>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</si>
  <si>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</si>
  <si>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</si>
  <si>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</si>
  <si>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</si>
  <si>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</si>
  <si>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df</t>
  </si>
  <si>
    <t>SS</t>
  </si>
  <si>
    <t>MS</t>
  </si>
  <si>
    <t>F</t>
  </si>
  <si>
    <t>Significance F</t>
  </si>
  <si>
    <t>Regression</t>
  </si>
  <si>
    <t>Residual</t>
  </si>
  <si>
    <t>Total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</si>
  <si>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</si>
  <si>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</si>
  <si>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</si>
  <si>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</si>
  <si>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</si>
  <si>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</si>
  <si>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</si>
  <si>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Intercept</t>
  </si>
  <si>
    <t>X Variable 1</t>
  </si>
  <si>
    <t>X Variable 2</t>
  </si>
  <si>
    <t>X Variable 3</t>
  </si>
  <si>
    <t>X Variable 4</t>
  </si>
  <si>
    <t>X Variable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</si>
</sst>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4">
    <numFmt numFmtId="164" formatCode="[&gt;1]&quot;10Q: &quot;0&quot; qtrs&quot;;&quot;10Q: &quot;0&quot; qtr&quot;"/>
    <numFmt numFmtId="165" formatCode="_(#,##0&quot; bp&quot;_);_(\(#,##0&quot; bp)&quot;;\-?;_(@_)"/>
    <numFmt numFmtId="166" formatCode="#,##0.0"/>
    <numFmt numFmtId="167" formatCode="#,##0.0_);\(#,##0.0\);\-?"/>
    <numFmt numFmtId="168" formatCode="#,##0.00_);\(#,##0.00\);\-?"/>
    <numFmt numFmtId="169" formatCode="[$-409]h:mm:ss\ AM/PM"/>
    <numFmt numFmtId="170" formatCode="\$#,##0.0_);&quot;($&quot;#,##0.0\);&quot;$-&quot;?"/>
    <numFmt numFmtId="171" formatCode="\$#,##0.00_);&quot;($&quot;#,##0.00\);&quot;$-&quot;?"/>
    <numFmt numFmtId="172" formatCode="_(\$* #,##0.00_);_(\$* \(#,##0.00\);_(\$* \-??_);_(@_)"/>
    <numFmt numFmtId="173" formatCode="\$#,##0.00_);[Red]&quot;($&quot;#,##0.00\);&quot;--  &quot;;_(@_)"/>
    <numFmt numFmtId="174" formatCode="mm/dd/yy;@"/>
    <numFmt numFmtId="175" formatCode="mmm\-d\-yyyy"/>
    <numFmt numFmtId="176" formatCode="mmm\-dd\-yy"/>
    <numFmt numFmtId="177" formatCode="mmm\-dd\-yyyy"/>
    <numFmt numFmtId="178" formatCode="mmm\-yyyy"/>
    <numFmt numFmtId="179" formatCode="m/d/yyyy"/>
    <numFmt numFmtId="180" formatCode="#,##0.0_);[Red]\(#,##0.0\)"/>
    <numFmt numFmtId="181" formatCode="#,##0.000_);[Red]\(#,##0.000\)"/>
    <numFmt numFmtId="182" formatCode="#,##0.0_);[Red]\(#,##0.0\);&quot;--  &quot;"/>
    <numFmt numFmtId="183" formatCode="#,##0.00\x_);[Red]\(#,##0.00&quot;x)&quot;"/>
    <numFmt numFmtId="184" formatCode="\$#,##0.00"/>
    <numFmt numFmtId="185" formatCode="#,##0.0%_);\(#,##0.0%\)"/>
    <numFmt numFmtId="186" formatCode="#,##0.00%_);\(#,##0.00%\)"/>
    <numFmt numFmtId="187" formatCode="#,##0.0%_);[Red]\(#,##0.0%\)"/>
    <numFmt numFmtId="188" formatCode="#,##0.00%_);[Red]\(#,##0.00%\)"/>
    <numFmt numFmtId="189" formatCode="0.00\x"/>
    <numFmt numFmtId="190" formatCode="0.0"/>
    <numFmt numFmtId="191" formatCode="#,##0.00\x_);\(#,##0.00&quot;x)&quot;;\-?"/>
    <numFmt numFmtId="192" formatCode="0.0&quot; years&quot;"/>
    <numFmt numFmtId="193" formatCode="#,##0.0_);\(#,##0.0\);@_)"/>
    <numFmt numFmtId="194" formatCode="_(* #,##0.00_);_(* \(#,##0.00\);_(* \-??_);_(@_)"/>
    <numFmt numFmtId="195" formatCode="yyyy\A"/>
    <numFmt numFmtId="196" formatCode="yyyy\P"/>
    <numFmt numFmtId="197" formatCode="\$#,##0.0_);&quot;($&quot;#,##0.0\)"/>
    <numFmt numFmtId="198" formatCode="\$#,##0.0_);&quot;($&quot;#,##0.0\);@_)"/>
    <numFmt numFmtId="199" formatCode="0.00%_);\(0.00%\);@_)"/>
    <numFmt numFmtId="200" formatCode="0.0%_);\(0.0%\);@_)"/>
    <numFmt numFmtId="201" formatCode="#,##0.0_);\(#,##0.0\);\-_);@_)"/>
    <numFmt numFmtId="202" formatCode="#,##0.0_);\(#,##0.0\)"/>
    <numFmt numFmtId="203" formatCode="0.0%"/>
    <numFmt numFmtId="204" formatCode="\$#,##0.00_);&quot;($&quot;#,##0.00\);@_)"/>
    <numFmt numFmtId="205" formatCode="_(* #,##0.0_);_(* \(#,##0.0\);_(* \-?_);_(@_)"/>
    <numFmt numFmtId="206" formatCode="\$#,##0.00_);[Red]&quot;($&quot;#,##0.00\)"/>
    <numFmt numFmtId="207" formatCode="\$#,##0"/>
  </numFmts>
  <fonts count="33" x14ac:knownFonts="1">
    <font>
      <sz val="10"/>
      <name val="Arial"/>
      <charset val="1"/>
    </font>
    <font>
      <sz val="10"/>
      <name val="Arial"/>
      <family val="2"/>
    </font>
    <font>
      <b/>
      <sz val="8"/>
      <name val="Arial"/>
      <family val="2"/>
      <charset val="1"/>
    </font>
    <font>
      <sz val="10"/>
      <name val="Arial"/>
      <family val="2"/>
      <charset val="1"/>
    </font>
    <font>
      <sz val="10"/>
      <name val="Times New Roman"/>
      <family val="1"/>
      <charset val="1"/>
    </font>
    <font>
      <i/>
      <sz val="8"/>
      <name val="Arial"/>
      <family val="2"/>
      <charset val="1"/>
    </font>
    <font>
      <sz val="8"/>
      <color rgb="FFFF0000"/>
      <name val="Arial"/>
      <family val="2"/>
      <charset val="1"/>
    </font>
    <font>
      <b/>
      <sz val="15"/>
      <color theme="1"/>
      <name val="Calibri"/>
      <family val="2"/>
      <charset val="1"/>
    </font>
    <font>
      <sz val="18"/>
      <color theme="1"/>
      <name val="Calibri"/>
      <family val="2"/>
      <charset val="1"/>
    </font>
    <font>
      <sz val="18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FF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4"/>
      <color rgb="FFFFFFFF"/>
      <name val="Calibri"/>
      <family val="2"/>
      <charset val="1"/>
    </font>
    <font>
      <b/>
      <sz val="11"/>
      <color theme="1"/>
      <name val="Calibri"/>
      <family val="2"/>
      <charset val="1"/>
    </font>
    <font>
      <i/>
      <sz val="11"/>
      <color rgb="FF000000"/>
      <name val="Calibri"/>
      <family val="2"/>
      <charset val="1"/>
    </font>
    <font>
      <i/>
      <sz val="11"/>
      <color rgb="FF0000FF"/>
      <name val="Calibri"/>
      <family val="2"/>
      <charset val="1"/>
    </font>
    <font>
      <sz val="10"/>
      <color rgb="FF000000"/>
      <name val="Arial"/>
      <family val="2"/>
      <charset val="1"/>
    </font>
    <font>
      <i/>
      <sz val="11"/>
      <name val="Calibri"/>
      <family val="2"/>
      <charset val="1"/>
    </font>
    <font>
      <i/>
      <sz val="11"/>
      <color rgb="FF008000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0000FF"/>
      <name val="Calibri"/>
      <family val="2"/>
      <charset val="1"/>
    </font>
    <font>
      <b/>
      <i/>
      <sz val="11"/>
      <name val="Calibri"/>
      <family val="2"/>
      <charset val="1"/>
    </font>
    <font>
      <sz val="11"/>
      <name val="Arial"/>
      <family val="2"/>
      <charset val="1"/>
    </font>
    <font>
      <b/>
      <sz val="12"/>
      <name val="Arial"/>
      <family val="2"/>
    </font>
    <font>
      <i/>
      <sz val="9"/>
      <color rgb="FF666666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0"/>
      <name val="Arial"/>
      <family val="2"/>
      <charset val="1"/>
    </font>
    <font>
      <sz val="10"/>
      <name val="Arial"/>
      <family val="2"/>
    </font>
    <font>
      <sz val="10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99"/>
        <bgColor rgb="FFF7E883"/>
      </patternFill>
    </fill>
    <fill>
      <patternFill patternType="solid">
        <fgColor rgb="FFFFFF00"/>
        <bgColor rgb="FFF7E883"/>
      </patternFill>
    </fill>
    <fill>
      <patternFill patternType="solid">
        <fgColor rgb="FF0000FF"/>
        <bgColor rgb="FF0000FF"/>
      </patternFill>
    </fill>
    <fill>
      <patternFill patternType="solid">
        <fgColor rgb="FFFFCC99"/>
        <bgColor rgb="FFFDCF7E"/>
      </patternFill>
    </fill>
    <fill>
      <patternFill patternType="solid">
        <fgColor rgb="FFFFFFFF"/>
        <bgColor rgb="FFD9E1F2"/>
      </patternFill>
    </fill>
    <fill>
      <patternFill patternType="solid">
        <fgColor rgb="FFD9E1F2"/>
        <bgColor rgb="FFD9D9D9"/>
      </patternFill>
    </fill>
    <fill>
      <patternFill patternType="solid">
        <fgColor rgb="FFF8696B"/>
        <bgColor rgb="FFF97C6E"/>
      </patternFill>
    </fill>
    <fill>
      <patternFill patternType="solid">
        <fgColor rgb="FFF97C6E"/>
        <bgColor rgb="FFFA8E72"/>
      </patternFill>
    </fill>
    <fill>
      <patternFill patternType="solid">
        <fgColor rgb="FFFA9072"/>
        <bgColor rgb="FFFA8E72"/>
      </patternFill>
    </fill>
    <fill>
      <patternFill patternType="solid">
        <fgColor rgb="FFFBA576"/>
        <bgColor rgb="FFFBA376"/>
      </patternFill>
    </fill>
    <fill>
      <patternFill patternType="solid">
        <fgColor rgb="FFFCBA7A"/>
        <bgColor rgb="FFFCB97A"/>
      </patternFill>
    </fill>
    <fill>
      <patternFill patternType="solid">
        <fgColor rgb="FFFA8E72"/>
        <bgColor rgb="FFFA9072"/>
      </patternFill>
    </fill>
    <fill>
      <patternFill patternType="solid">
        <fgColor rgb="FFFBA376"/>
        <bgColor rgb="FFFBA576"/>
      </patternFill>
    </fill>
    <fill>
      <patternFill patternType="solid">
        <fgColor rgb="FFFCB97A"/>
        <bgColor rgb="FFFCBA7A"/>
      </patternFill>
    </fill>
    <fill>
      <patternFill patternType="solid">
        <fgColor rgb="FFFDCF7E"/>
        <bgColor rgb="FFFDCA7D"/>
      </patternFill>
    </fill>
    <fill>
      <patternFill patternType="solid">
        <fgColor rgb="FFFEE783"/>
        <bgColor rgb="FFF7E883"/>
      </patternFill>
    </fill>
    <fill>
      <patternFill patternType="solid">
        <fgColor rgb="FFFCB379"/>
        <bgColor rgb="FFFCB97A"/>
      </patternFill>
    </fill>
    <fill>
      <patternFill patternType="solid">
        <fgColor rgb="FFFDCA7D"/>
        <bgColor rgb="FFFDCF7E"/>
      </patternFill>
    </fill>
    <fill>
      <patternFill patternType="solid">
        <fgColor rgb="FFC6EFCE"/>
        <bgColor rgb="FFD9E1F2"/>
      </patternFill>
    </fill>
    <fill>
      <patternFill patternType="solid">
        <fgColor rgb="FFECE582"/>
        <bgColor rgb="FFE7E482"/>
      </patternFill>
    </fill>
    <fill>
      <patternFill patternType="solid">
        <fgColor rgb="FFCDDC81"/>
        <bgColor rgb="FFC8DB80"/>
      </patternFill>
    </fill>
    <fill>
      <patternFill patternType="solid">
        <fgColor rgb="FFFED980"/>
        <bgColor rgb="FFFDCF7E"/>
      </patternFill>
    </fill>
    <fill>
      <patternFill patternType="solid">
        <fgColor rgb="FFF7E883"/>
        <bgColor rgb="FFFEE783"/>
      </patternFill>
    </fill>
    <fill>
      <patternFill patternType="solid">
        <fgColor rgb="FFD8E081"/>
        <bgColor rgb="FFCDDC81"/>
      </patternFill>
    </fill>
    <fill>
      <patternFill patternType="solid">
        <fgColor rgb="FFB9D67F"/>
        <bgColor rgb="FFC8DB80"/>
      </patternFill>
    </fill>
    <fill>
      <patternFill patternType="solid">
        <fgColor rgb="FF98CD7E"/>
        <bgColor rgb="FFA8D17E"/>
      </patternFill>
    </fill>
    <fill>
      <patternFill patternType="solid">
        <fgColor rgb="FFE7E482"/>
        <bgColor rgb="FFECE582"/>
      </patternFill>
    </fill>
    <fill>
      <patternFill patternType="solid">
        <fgColor rgb="FFC8DB80"/>
        <bgColor rgb="FFCDDC81"/>
      </patternFill>
    </fill>
    <fill>
      <patternFill patternType="solid">
        <fgColor rgb="FFA8D17E"/>
        <bgColor rgb="FF98CD7E"/>
      </patternFill>
    </fill>
    <fill>
      <patternFill patternType="solid">
        <fgColor rgb="FF86C87D"/>
        <bgColor rgb="FF98CD7E"/>
      </patternFill>
    </fill>
    <fill>
      <patternFill patternType="solid">
        <fgColor rgb="FF63BE7B"/>
        <bgColor rgb="FF86C87D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9">
    <xf numFmtId="0" fontId="0" fillId="0" borderId="0"/>
    <xf numFmtId="164" fontId="2" fillId="0" borderId="0"/>
    <xf numFmtId="165" fontId="31" fillId="0" borderId="0"/>
    <xf numFmtId="166" fontId="31" fillId="0" borderId="0"/>
    <xf numFmtId="167" fontId="31" fillId="0" borderId="0"/>
    <xf numFmtId="168" fontId="31" fillId="0" borderId="0"/>
    <xf numFmtId="169" fontId="31" fillId="0" borderId="0"/>
    <xf numFmtId="170" fontId="31" fillId="0" borderId="0"/>
    <xf numFmtId="171" fontId="31" fillId="0" borderId="0"/>
    <xf numFmtId="172" fontId="31" fillId="0" borderId="0"/>
    <xf numFmtId="173" fontId="31" fillId="0" borderId="0"/>
    <xf numFmtId="15" fontId="31" fillId="0" borderId="0"/>
    <xf numFmtId="174" fontId="31" fillId="0" borderId="0"/>
    <xf numFmtId="17" fontId="31" fillId="0" borderId="0"/>
    <xf numFmtId="175" fontId="31" fillId="0" borderId="0"/>
    <xf numFmtId="176" fontId="31" fillId="0" borderId="0"/>
    <xf numFmtId="177" fontId="31" fillId="0" borderId="0"/>
    <xf numFmtId="178" fontId="31" fillId="0" borderId="0"/>
    <xf numFmtId="179" fontId="31" fillId="0" borderId="0"/>
    <xf numFmtId="0" fontId="3" fillId="0" borderId="0"/>
    <xf numFmtId="0" fontId="4" fillId="0" borderId="0"/>
    <xf numFmtId="0" fontId="3" fillId="0" borderId="0"/>
    <xf numFmtId="37" fontId="31" fillId="0" borderId="0"/>
    <xf numFmtId="180" fontId="31" fillId="0" borderId="0"/>
    <xf numFmtId="181" fontId="31" fillId="0" borderId="0"/>
    <xf numFmtId="169" fontId="31" fillId="0" borderId="0"/>
    <xf numFmtId="182" fontId="31" fillId="0" borderId="0"/>
    <xf numFmtId="183" fontId="31" fillId="0" borderId="0"/>
    <xf numFmtId="184" fontId="31" fillId="0" borderId="0"/>
    <xf numFmtId="185" fontId="31" fillId="0" borderId="0"/>
    <xf numFmtId="186" fontId="31" fillId="0" borderId="0"/>
    <xf numFmtId="9" fontId="31" fillId="0" borderId="0"/>
    <xf numFmtId="187" fontId="5" fillId="0" borderId="0"/>
    <xf numFmtId="188" fontId="5" fillId="0" borderId="0"/>
    <xf numFmtId="0" fontId="6" fillId="0" borderId="0"/>
    <xf numFmtId="189" fontId="31" fillId="0" borderId="0"/>
    <xf numFmtId="190" fontId="31" fillId="0" borderId="0"/>
    <xf numFmtId="191" fontId="31" fillId="0" borderId="0"/>
    <xf numFmtId="192" fontId="31" fillId="0" borderId="0"/>
  </cellStyleXfs>
  <cellXfs count="141">
    <xf numFmtId="0" fontId="0" fillId="0" borderId="0" xfId="0"/>
    <xf numFmtId="0" fontId="30" fillId="0" borderId="14" xfId="0" applyFont="1" applyBorder="1" applyAlignment="1">
      <alignment horizontal="center"/>
    </xf>
    <xf numFmtId="0" fontId="15" fillId="5" borderId="6" xfId="0" applyFont="1" applyFill="1" applyBorder="1" applyAlignment="1">
      <alignment horizontal="center"/>
    </xf>
    <xf numFmtId="0" fontId="9" fillId="0" borderId="0" xfId="0" applyFont="1"/>
    <xf numFmtId="0" fontId="10" fillId="0" borderId="0" xfId="0" applyFont="1" applyAlignment="1">
      <alignment readingOrder="1"/>
    </xf>
    <xf numFmtId="0" fontId="11" fillId="0" borderId="0" xfId="0" applyFont="1" applyAlignment="1">
      <alignment horizontal="left" vertical="top" readingOrder="1"/>
    </xf>
    <xf numFmtId="15" fontId="11" fillId="0" borderId="0" xfId="0" applyNumberFormat="1" applyFont="1" applyAlignment="1">
      <alignment horizontal="right" vertical="top" readingOrder="1"/>
    </xf>
    <xf numFmtId="179" fontId="12" fillId="2" borderId="0" xfId="0" applyNumberFormat="1" applyFont="1" applyFill="1" applyAlignment="1">
      <alignment horizontal="right" vertical="top" readingOrder="1"/>
    </xf>
    <xf numFmtId="0" fontId="10" fillId="3" borderId="0" xfId="0" applyFont="1" applyFill="1"/>
    <xf numFmtId="193" fontId="12" fillId="2" borderId="0" xfId="0" applyNumberFormat="1" applyFont="1" applyFill="1" applyAlignment="1">
      <alignment horizontal="right" vertical="top" readingOrder="1"/>
    </xf>
    <xf numFmtId="194" fontId="11" fillId="0" borderId="0" xfId="0" applyNumberFormat="1" applyFont="1" applyAlignment="1">
      <alignment horizontal="right" vertical="top" readingOrder="1"/>
    </xf>
    <xf numFmtId="194" fontId="13" fillId="0" borderId="0" xfId="0" applyNumberFormat="1" applyFont="1" applyAlignment="1">
      <alignment horizontal="right" vertical="top" readingOrder="1"/>
    </xf>
    <xf numFmtId="194" fontId="10" fillId="0" borderId="0" xfId="0" applyNumberFormat="1" applyFont="1" applyAlignment="1">
      <alignment readingOrder="1"/>
    </xf>
    <xf numFmtId="0" fontId="14" fillId="4" borderId="3" xfId="0" applyFont="1" applyFill="1" applyBorder="1"/>
    <xf numFmtId="0" fontId="15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5" xfId="0" applyFont="1" applyBorder="1" applyAlignment="1">
      <alignment horizontal="center"/>
    </xf>
    <xf numFmtId="10" fontId="10" fillId="0" borderId="0" xfId="0" applyNumberFormat="1" applyFont="1" applyAlignment="1">
      <alignment readingOrder="1"/>
    </xf>
    <xf numFmtId="195" fontId="15" fillId="0" borderId="7" xfId="0" applyNumberFormat="1" applyFont="1" applyBorder="1"/>
    <xf numFmtId="196" fontId="15" fillId="0" borderId="7" xfId="0" applyNumberFormat="1" applyFont="1" applyBorder="1"/>
    <xf numFmtId="197" fontId="12" fillId="2" borderId="0" xfId="0" applyNumberFormat="1" applyFont="1" applyFill="1"/>
    <xf numFmtId="198" fontId="12" fillId="2" borderId="0" xfId="0" applyNumberFormat="1" applyFont="1" applyFill="1"/>
    <xf numFmtId="198" fontId="10" fillId="0" borderId="0" xfId="0" applyNumberFormat="1" applyFont="1" applyAlignment="1">
      <alignment readingOrder="1"/>
    </xf>
    <xf numFmtId="0" fontId="16" fillId="0" borderId="0" xfId="0" applyFont="1" applyAlignment="1">
      <alignment horizontal="left" vertical="top" readingOrder="1"/>
    </xf>
    <xf numFmtId="10" fontId="11" fillId="0" borderId="0" xfId="0" applyNumberFormat="1" applyFont="1" applyAlignment="1">
      <alignment horizontal="right" vertical="top" readingOrder="1"/>
    </xf>
    <xf numFmtId="199" fontId="17" fillId="2" borderId="0" xfId="0" applyNumberFormat="1" applyFont="1" applyFill="1" applyAlignment="1">
      <alignment readingOrder="1"/>
    </xf>
    <xf numFmtId="200" fontId="17" fillId="0" borderId="0" xfId="0" applyNumberFormat="1" applyFont="1" applyAlignment="1">
      <alignment readingOrder="1"/>
    </xf>
    <xf numFmtId="4" fontId="18" fillId="6" borderId="8" xfId="0" applyNumberFormat="1" applyFont="1" applyFill="1" applyBorder="1" applyAlignment="1">
      <alignment horizontal="right"/>
    </xf>
    <xf numFmtId="194" fontId="17" fillId="0" borderId="0" xfId="0" applyNumberFormat="1" applyFont="1" applyAlignment="1">
      <alignment readingOrder="1"/>
    </xf>
    <xf numFmtId="197" fontId="10" fillId="0" borderId="0" xfId="0" applyNumberFormat="1" applyFont="1" applyAlignment="1">
      <alignment readingOrder="1"/>
    </xf>
    <xf numFmtId="4" fontId="10" fillId="0" borderId="0" xfId="0" applyNumberFormat="1" applyFont="1" applyAlignment="1">
      <alignment readingOrder="1"/>
    </xf>
    <xf numFmtId="179" fontId="13" fillId="0" borderId="0" xfId="0" applyNumberFormat="1" applyFont="1" applyAlignment="1">
      <alignment horizontal="right" vertical="top" readingOrder="1"/>
    </xf>
    <xf numFmtId="4" fontId="18" fillId="3" borderId="8" xfId="0" applyNumberFormat="1" applyFont="1" applyFill="1" applyBorder="1" applyAlignment="1">
      <alignment horizontal="right"/>
    </xf>
    <xf numFmtId="200" fontId="17" fillId="2" borderId="0" xfId="0" applyNumberFormat="1" applyFont="1" applyFill="1" applyAlignment="1">
      <alignment readingOrder="1"/>
    </xf>
    <xf numFmtId="0" fontId="10" fillId="0" borderId="0" xfId="0" applyFont="1" applyAlignment="1">
      <alignment horizontal="left"/>
    </xf>
    <xf numFmtId="201" fontId="12" fillId="2" borderId="0" xfId="0" applyNumberFormat="1" applyFont="1" applyFill="1"/>
    <xf numFmtId="201" fontId="10" fillId="0" borderId="0" xfId="0" applyNumberFormat="1" applyFont="1" applyAlignment="1">
      <alignment readingOrder="1"/>
    </xf>
    <xf numFmtId="10" fontId="16" fillId="0" borderId="0" xfId="0" applyNumberFormat="1" applyFont="1" applyAlignment="1">
      <alignment horizontal="right" vertical="top" readingOrder="1"/>
    </xf>
    <xf numFmtId="193" fontId="10" fillId="0" borderId="0" xfId="0" applyNumberFormat="1" applyFont="1" applyAlignment="1">
      <alignment readingOrder="1"/>
    </xf>
    <xf numFmtId="0" fontId="19" fillId="0" borderId="0" xfId="0" applyFont="1" applyAlignment="1">
      <alignment horizontal="left"/>
    </xf>
    <xf numFmtId="10" fontId="20" fillId="0" borderId="0" xfId="0" applyNumberFormat="1" applyFont="1" applyAlignment="1">
      <alignment horizontal="right" vertical="top" readingOrder="1"/>
    </xf>
    <xf numFmtId="10" fontId="19" fillId="0" borderId="0" xfId="0" applyNumberFormat="1" applyFont="1" applyAlignment="1">
      <alignment readingOrder="1"/>
    </xf>
    <xf numFmtId="15" fontId="16" fillId="0" borderId="0" xfId="0" applyNumberFormat="1" applyFont="1" applyAlignment="1">
      <alignment horizontal="right" vertical="top" readingOrder="1"/>
    </xf>
    <xf numFmtId="179" fontId="20" fillId="0" borderId="0" xfId="0" applyNumberFormat="1" applyFont="1" applyAlignment="1">
      <alignment horizontal="right" vertical="top" readingOrder="1"/>
    </xf>
    <xf numFmtId="0" fontId="19" fillId="0" borderId="0" xfId="0" applyFont="1" applyAlignment="1">
      <alignment readingOrder="1"/>
    </xf>
    <xf numFmtId="0" fontId="10" fillId="0" borderId="0" xfId="0" applyFont="1"/>
    <xf numFmtId="0" fontId="19" fillId="0" borderId="0" xfId="0" applyFont="1"/>
    <xf numFmtId="0" fontId="15" fillId="0" borderId="9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21" fillId="0" borderId="0" xfId="0" applyFont="1"/>
    <xf numFmtId="0" fontId="21" fillId="0" borderId="1" xfId="0" applyFont="1" applyBorder="1"/>
    <xf numFmtId="0" fontId="10" fillId="0" borderId="7" xfId="0" applyFont="1" applyBorder="1"/>
    <xf numFmtId="0" fontId="10" fillId="0" borderId="1" xfId="0" applyFont="1" applyBorder="1"/>
    <xf numFmtId="197" fontId="11" fillId="0" borderId="0" xfId="0" applyNumberFormat="1" applyFont="1"/>
    <xf numFmtId="198" fontId="11" fillId="0" borderId="0" xfId="0" applyNumberFormat="1" applyFont="1"/>
    <xf numFmtId="193" fontId="10" fillId="0" borderId="0" xfId="0" applyNumberFormat="1" applyFont="1"/>
    <xf numFmtId="200" fontId="21" fillId="0" borderId="0" xfId="0" applyNumberFormat="1" applyFont="1"/>
    <xf numFmtId="200" fontId="22" fillId="2" borderId="0" xfId="0" applyNumberFormat="1" applyFont="1" applyFill="1"/>
    <xf numFmtId="198" fontId="21" fillId="0" borderId="0" xfId="0" applyNumberFormat="1" applyFont="1"/>
    <xf numFmtId="198" fontId="21" fillId="0" borderId="2" xfId="0" applyNumberFormat="1" applyFont="1" applyBorder="1"/>
    <xf numFmtId="202" fontId="10" fillId="0" borderId="0" xfId="0" applyNumberFormat="1" applyFont="1" applyAlignment="1">
      <alignment horizontal="left"/>
    </xf>
    <xf numFmtId="193" fontId="11" fillId="0" borderId="0" xfId="0" applyNumberFormat="1" applyFont="1"/>
    <xf numFmtId="202" fontId="11" fillId="0" borderId="0" xfId="0" applyNumberFormat="1" applyFont="1"/>
    <xf numFmtId="10" fontId="11" fillId="0" borderId="0" xfId="0" applyNumberFormat="1" applyFont="1"/>
    <xf numFmtId="0" fontId="10" fillId="0" borderId="0" xfId="0" applyFont="1" applyAlignment="1">
      <alignment horizontal="left" indent="1"/>
    </xf>
    <xf numFmtId="203" fontId="11" fillId="0" borderId="0" xfId="0" applyNumberFormat="1" applyFont="1"/>
    <xf numFmtId="203" fontId="19" fillId="0" borderId="0" xfId="0" applyNumberFormat="1" applyFont="1"/>
    <xf numFmtId="10" fontId="21" fillId="0" borderId="0" xfId="0" applyNumberFormat="1" applyFont="1"/>
    <xf numFmtId="198" fontId="10" fillId="0" borderId="0" xfId="0" applyNumberFormat="1" applyFont="1"/>
    <xf numFmtId="0" fontId="23" fillId="0" borderId="0" xfId="0" applyFont="1"/>
    <xf numFmtId="202" fontId="24" fillId="0" borderId="0" xfId="0" applyNumberFormat="1" applyFont="1" applyAlignment="1">
      <alignment horizontal="right" indent="1"/>
    </xf>
    <xf numFmtId="0" fontId="21" fillId="0" borderId="0" xfId="0" applyFont="1" applyAlignment="1">
      <alignment horizontal="left" indent="1"/>
    </xf>
    <xf numFmtId="203" fontId="12" fillId="2" borderId="0" xfId="0" applyNumberFormat="1" applyFont="1" applyFill="1" applyAlignment="1">
      <alignment horizontal="right" indent="1"/>
    </xf>
    <xf numFmtId="203" fontId="12" fillId="6" borderId="0" xfId="0" applyNumberFormat="1" applyFont="1" applyFill="1" applyAlignment="1">
      <alignment horizontal="right" indent="1"/>
    </xf>
    <xf numFmtId="203" fontId="12" fillId="0" borderId="0" xfId="0" applyNumberFormat="1" applyFont="1" applyAlignment="1">
      <alignment horizontal="right" indent="1"/>
    </xf>
    <xf numFmtId="203" fontId="11" fillId="0" borderId="0" xfId="0" applyNumberFormat="1" applyFont="1" applyAlignment="1">
      <alignment horizontal="right" indent="1"/>
    </xf>
    <xf numFmtId="202" fontId="10" fillId="0" borderId="0" xfId="0" applyNumberFormat="1" applyFont="1" applyAlignment="1">
      <alignment horizontal="right" indent="1"/>
    </xf>
    <xf numFmtId="198" fontId="21" fillId="0" borderId="2" xfId="0" applyNumberFormat="1" applyFont="1" applyBorder="1" applyAlignment="1">
      <alignment horizontal="right" indent="1"/>
    </xf>
    <xf numFmtId="198" fontId="21" fillId="0" borderId="0" xfId="0" applyNumberFormat="1" applyFont="1" applyAlignment="1">
      <alignment horizontal="right" indent="1"/>
    </xf>
    <xf numFmtId="198" fontId="10" fillId="0" borderId="0" xfId="0" applyNumberFormat="1" applyFont="1" applyAlignment="1">
      <alignment horizontal="right" indent="1"/>
    </xf>
    <xf numFmtId="0" fontId="24" fillId="0" borderId="0" xfId="0" applyFont="1"/>
    <xf numFmtId="204" fontId="11" fillId="0" borderId="0" xfId="0" applyNumberFormat="1" applyFont="1"/>
    <xf numFmtId="200" fontId="10" fillId="0" borderId="0" xfId="0" applyNumberFormat="1" applyFont="1"/>
    <xf numFmtId="200" fontId="11" fillId="0" borderId="0" xfId="0" applyNumberFormat="1" applyFont="1"/>
    <xf numFmtId="205" fontId="10" fillId="0" borderId="0" xfId="0" applyNumberFormat="1" applyFont="1"/>
    <xf numFmtId="0" fontId="10" fillId="0" borderId="10" xfId="0" applyFont="1" applyBorder="1"/>
    <xf numFmtId="0" fontId="10" fillId="0" borderId="2" xfId="0" applyFont="1" applyBorder="1"/>
    <xf numFmtId="0" fontId="10" fillId="0" borderId="4" xfId="0" applyFont="1" applyBorder="1"/>
    <xf numFmtId="10" fontId="10" fillId="0" borderId="0" xfId="0" applyNumberFormat="1" applyFont="1"/>
    <xf numFmtId="203" fontId="21" fillId="0" borderId="0" xfId="0" applyNumberFormat="1" applyFont="1"/>
    <xf numFmtId="202" fontId="13" fillId="0" borderId="0" xfId="0" applyNumberFormat="1" applyFont="1" applyAlignment="1">
      <alignment horizontal="right" indent="1"/>
    </xf>
    <xf numFmtId="0" fontId="10" fillId="0" borderId="11" xfId="0" applyFont="1" applyBorder="1"/>
    <xf numFmtId="206" fontId="21" fillId="0" borderId="12" xfId="0" applyNumberFormat="1" applyFont="1" applyBorder="1" applyAlignment="1">
      <alignment horizontal="right" indent="1"/>
    </xf>
    <xf numFmtId="0" fontId="10" fillId="0" borderId="4" xfId="0" applyFont="1" applyBorder="1" applyAlignment="1">
      <alignment horizontal="left" indent="1"/>
    </xf>
    <xf numFmtId="190" fontId="10" fillId="0" borderId="0" xfId="0" applyNumberFormat="1" applyFont="1" applyAlignment="1">
      <alignment horizontal="right" indent="1"/>
    </xf>
    <xf numFmtId="206" fontId="21" fillId="0" borderId="0" xfId="0" applyNumberFormat="1" applyFont="1" applyAlignment="1">
      <alignment horizontal="right" indent="1"/>
    </xf>
    <xf numFmtId="203" fontId="24" fillId="0" borderId="1" xfId="0" applyNumberFormat="1" applyFont="1" applyBorder="1"/>
    <xf numFmtId="10" fontId="0" fillId="0" borderId="5" xfId="0" applyNumberFormat="1" applyBorder="1"/>
    <xf numFmtId="0" fontId="25" fillId="0" borderId="0" xfId="0" applyFont="1"/>
    <xf numFmtId="0" fontId="26" fillId="0" borderId="0" xfId="0" applyFont="1"/>
    <xf numFmtId="0" fontId="3" fillId="0" borderId="0" xfId="0" applyFont="1"/>
    <xf numFmtId="2" fontId="0" fillId="0" borderId="0" xfId="0" applyNumberFormat="1"/>
    <xf numFmtId="206" fontId="0" fillId="0" borderId="0" xfId="0" applyNumberFormat="1"/>
    <xf numFmtId="0" fontId="27" fillId="0" borderId="13" xfId="0" applyFont="1" applyBorder="1" applyAlignment="1">
      <alignment horizontal="center" vertical="center" wrapText="1"/>
    </xf>
    <xf numFmtId="203" fontId="28" fillId="7" borderId="13" xfId="0" applyNumberFormat="1" applyFont="1" applyFill="1" applyBorder="1" applyAlignment="1">
      <alignment horizontal="center"/>
    </xf>
    <xf numFmtId="207" fontId="29" fillId="8" borderId="13" xfId="0" applyNumberFormat="1" applyFont="1" applyFill="1" applyBorder="1" applyAlignment="1">
      <alignment horizontal="center"/>
    </xf>
    <xf numFmtId="207" fontId="29" fillId="9" borderId="13" xfId="0" applyNumberFormat="1" applyFont="1" applyFill="1" applyBorder="1" applyAlignment="1">
      <alignment horizontal="center"/>
    </xf>
    <xf numFmtId="207" fontId="29" fillId="10" borderId="13" xfId="0" applyNumberFormat="1" applyFont="1" applyFill="1" applyBorder="1" applyAlignment="1">
      <alignment horizontal="center"/>
    </xf>
    <xf numFmtId="207" fontId="29" fillId="11" borderId="13" xfId="0" applyNumberFormat="1" applyFont="1" applyFill="1" applyBorder="1" applyAlignment="1">
      <alignment horizontal="center"/>
    </xf>
    <xf numFmtId="207" fontId="29" fillId="12" borderId="13" xfId="0" applyNumberFormat="1" applyFont="1" applyFill="1" applyBorder="1" applyAlignment="1">
      <alignment horizontal="center"/>
    </xf>
    <xf numFmtId="207" fontId="29" fillId="13" borderId="13" xfId="0" applyNumberFormat="1" applyFont="1" applyFill="1" applyBorder="1" applyAlignment="1">
      <alignment horizontal="center"/>
    </xf>
    <xf numFmtId="207" fontId="29" fillId="14" borderId="13" xfId="0" applyNumberFormat="1" applyFont="1" applyFill="1" applyBorder="1" applyAlignment="1">
      <alignment horizontal="center"/>
    </xf>
    <xf numFmtId="207" fontId="29" fillId="15" borderId="13" xfId="0" applyNumberFormat="1" applyFont="1" applyFill="1" applyBorder="1" applyAlignment="1">
      <alignment horizontal="center"/>
    </xf>
    <xf numFmtId="207" fontId="29" fillId="16" borderId="13" xfId="0" applyNumberFormat="1" applyFont="1" applyFill="1" applyBorder="1" applyAlignment="1">
      <alignment horizontal="center"/>
    </xf>
    <xf numFmtId="207" fontId="29" fillId="17" borderId="13" xfId="0" applyNumberFormat="1" applyFont="1" applyFill="1" applyBorder="1" applyAlignment="1">
      <alignment horizontal="center"/>
    </xf>
    <xf numFmtId="207" fontId="29" fillId="18" borderId="13" xfId="0" applyNumberFormat="1" applyFont="1" applyFill="1" applyBorder="1" applyAlignment="1">
      <alignment horizontal="center"/>
    </xf>
    <xf numFmtId="207" fontId="29" fillId="19" borderId="13" xfId="0" applyNumberFormat="1" applyFont="1" applyFill="1" applyBorder="1" applyAlignment="1">
      <alignment horizontal="center"/>
    </xf>
    <xf numFmtId="207" fontId="28" fillId="20" borderId="13" xfId="0" applyNumberFormat="1" applyFont="1" applyFill="1" applyBorder="1" applyAlignment="1">
      <alignment horizontal="center"/>
    </xf>
    <xf numFmtId="207" fontId="29" fillId="21" borderId="13" xfId="0" applyNumberFormat="1" applyFont="1" applyFill="1" applyBorder="1" applyAlignment="1">
      <alignment horizontal="center"/>
    </xf>
    <xf numFmtId="207" fontId="29" fillId="22" borderId="13" xfId="0" applyNumberFormat="1" applyFont="1" applyFill="1" applyBorder="1" applyAlignment="1">
      <alignment horizontal="center"/>
    </xf>
    <xf numFmtId="207" fontId="29" fillId="23" borderId="13" xfId="0" applyNumberFormat="1" applyFont="1" applyFill="1" applyBorder="1" applyAlignment="1">
      <alignment horizontal="center"/>
    </xf>
    <xf numFmtId="207" fontId="29" fillId="24" borderId="13" xfId="0" applyNumberFormat="1" applyFont="1" applyFill="1" applyBorder="1" applyAlignment="1">
      <alignment horizontal="center"/>
    </xf>
    <xf numFmtId="207" fontId="29" fillId="25" borderId="13" xfId="0" applyNumberFormat="1" applyFont="1" applyFill="1" applyBorder="1" applyAlignment="1">
      <alignment horizontal="center"/>
    </xf>
    <xf numFmtId="207" fontId="29" fillId="26" borderId="13" xfId="0" applyNumberFormat="1" applyFont="1" applyFill="1" applyBorder="1" applyAlignment="1">
      <alignment horizontal="center"/>
    </xf>
    <xf numFmtId="207" fontId="29" fillId="27" borderId="13" xfId="0" applyNumberFormat="1" applyFont="1" applyFill="1" applyBorder="1" applyAlignment="1">
      <alignment horizontal="center"/>
    </xf>
    <xf numFmtId="207" fontId="29" fillId="28" borderId="13" xfId="0" applyNumberFormat="1" applyFont="1" applyFill="1" applyBorder="1" applyAlignment="1">
      <alignment horizontal="center"/>
    </xf>
    <xf numFmtId="207" fontId="29" fillId="29" borderId="13" xfId="0" applyNumberFormat="1" applyFont="1" applyFill="1" applyBorder="1" applyAlignment="1">
      <alignment horizontal="center"/>
    </xf>
    <xf numFmtId="207" fontId="29" fillId="30" borderId="13" xfId="0" applyNumberFormat="1" applyFont="1" applyFill="1" applyBorder="1" applyAlignment="1">
      <alignment horizontal="center"/>
    </xf>
    <xf numFmtId="207" fontId="29" fillId="31" borderId="13" xfId="0" applyNumberFormat="1" applyFont="1" applyFill="1" applyBorder="1" applyAlignment="1">
      <alignment horizontal="center"/>
    </xf>
    <xf numFmtId="207" fontId="29" fillId="32" borderId="13" xfId="0" applyNumberFormat="1" applyFont="1" applyFill="1" applyBorder="1" applyAlignment="1">
      <alignment horizontal="center"/>
    </xf>
    <xf numFmtId="0" fontId="30" fillId="0" borderId="14" xfId="0" applyFont="1" applyBorder="1" applyAlignment="1">
      <alignment horizontal="center"/>
    </xf>
    <xf numFmtId="0" fontId="0" fillId="0" borderId="3" xfId="0" applyBorder="1"/>
    <xf numFmtId="0" fontId="10" fillId="0" borderId="0" xfId="0" applyFont="1" applyFill="1"/>
    <xf numFmtId="200" fontId="10" fillId="0" borderId="0" xfId="0" applyNumberFormat="1" applyFont="1" applyFill="1"/>
    <xf numFmtId="0" fontId="24" fillId="0" borderId="0" xfId="0" applyFont="1" applyFill="1"/>
    <xf numFmtId="198" fontId="21" fillId="0" borderId="2" xfId="0" applyNumberFormat="1" applyFont="1" applyFill="1" applyBorder="1"/>
    <xf numFmtId="193" fontId="10" fillId="0" borderId="0" xfId="0" applyNumberFormat="1" applyFont="1" applyFill="1" applyAlignment="1">
      <alignment horizontal="right" indent="1"/>
    </xf>
    <xf numFmtId="0" fontId="0" fillId="0" borderId="0" xfId="0" applyBorder="1"/>
    <xf numFmtId="0" fontId="7" fillId="0" borderId="0" xfId="0" applyFont="1" applyBorder="1"/>
    <xf numFmtId="0" fontId="8" fillId="0" borderId="0" xfId="0" applyFont="1" applyBorder="1"/>
    <xf numFmtId="0" fontId="9" fillId="0" borderId="0" xfId="0" applyFont="1" applyBorder="1"/>
  </cellXfs>
  <cellStyles count="39">
    <cellStyle name="10Q" xfId="1" xr:uid="{00000000-0005-0000-0000-000006000000}"/>
    <cellStyle name="bp" xfId="2" xr:uid="{00000000-0005-0000-0000-000007000000}"/>
    <cellStyle name="Comma (0)" xfId="3" xr:uid="{00000000-0005-0000-0000-000008000000}"/>
    <cellStyle name="Comma (1)" xfId="4" xr:uid="{00000000-0005-0000-0000-000009000000}"/>
    <cellStyle name="Comma (2)" xfId="5" xr:uid="{00000000-0005-0000-0000-00000A000000}"/>
    <cellStyle name="Currency (0)" xfId="6" xr:uid="{00000000-0005-0000-0000-00000B000000}"/>
    <cellStyle name="Currency (1)" xfId="7" xr:uid="{00000000-0005-0000-0000-00000C000000}"/>
    <cellStyle name="Currency (2)" xfId="8" xr:uid="{00000000-0005-0000-0000-00000D000000}"/>
    <cellStyle name="Currency 2" xfId="9" xr:uid="{00000000-0005-0000-0000-00000E000000}"/>
    <cellStyle name="Currency--" xfId="10" xr:uid="{00000000-0005-0000-0000-00000F000000}"/>
    <cellStyle name="Date (dd-mmm-yy)" xfId="11" xr:uid="{00000000-0005-0000-0000-000010000000}"/>
    <cellStyle name="Date (mm-dd-yy)" xfId="12" xr:uid="{00000000-0005-0000-0000-000011000000}"/>
    <cellStyle name="Date (mmm-yy)" xfId="13" xr:uid="{00000000-0005-0000-0000-000012000000}"/>
    <cellStyle name="Date [mm-d-yyyy]" xfId="14" xr:uid="{00000000-0005-0000-0000-000013000000}"/>
    <cellStyle name="Date [mm-dd-yy]" xfId="15" xr:uid="{00000000-0005-0000-0000-000014000000}"/>
    <cellStyle name="Date [mm-dd-yyyy]" xfId="16" xr:uid="{00000000-0005-0000-0000-000015000000}"/>
    <cellStyle name="Date [mmm-yyyy]" xfId="17" xr:uid="{00000000-0005-0000-0000-000016000000}"/>
    <cellStyle name="m/d/yy" xfId="18" xr:uid="{00000000-0005-0000-0000-000017000000}"/>
    <cellStyle name="Normal" xfId="0" builtinId="0"/>
    <cellStyle name="Normal [0]" xfId="22" xr:uid="{00000000-0005-0000-0000-00001B000000}"/>
    <cellStyle name="Normal [1]" xfId="23" xr:uid="{00000000-0005-0000-0000-00001C000000}"/>
    <cellStyle name="Normal [3]" xfId="24" xr:uid="{00000000-0005-0000-0000-00001D000000}"/>
    <cellStyle name="Normal [3] 2" xfId="25" xr:uid="{00000000-0005-0000-0000-00001E000000}"/>
    <cellStyle name="Normal 2" xfId="19" xr:uid="{00000000-0005-0000-0000-000018000000}"/>
    <cellStyle name="Normal 3" xfId="20" xr:uid="{00000000-0005-0000-0000-000019000000}"/>
    <cellStyle name="Normal 4" xfId="21" xr:uid="{00000000-0005-0000-0000-00001A000000}"/>
    <cellStyle name="Normal--" xfId="26" xr:uid="{00000000-0005-0000-0000-00001F000000}"/>
    <cellStyle name="Normalx" xfId="27" xr:uid="{00000000-0005-0000-0000-000020000000}"/>
    <cellStyle name="Percent (0)" xfId="28" xr:uid="{00000000-0005-0000-0000-000021000000}"/>
    <cellStyle name="Percent (1)" xfId="29" xr:uid="{00000000-0005-0000-0000-000022000000}"/>
    <cellStyle name="Percent (2)" xfId="30" xr:uid="{00000000-0005-0000-0000-000023000000}"/>
    <cellStyle name="Percent [1]" xfId="32" xr:uid="{00000000-0005-0000-0000-000025000000}"/>
    <cellStyle name="Percent [2]" xfId="33" xr:uid="{00000000-0005-0000-0000-000026000000}"/>
    <cellStyle name="Percent 2" xfId="31" xr:uid="{00000000-0005-0000-0000-000024000000}"/>
    <cellStyle name="Red font" xfId="34" xr:uid="{00000000-0005-0000-0000-000027000000}"/>
    <cellStyle name="Times" xfId="35" xr:uid="{00000000-0005-0000-0000-000028000000}"/>
    <cellStyle name="x (1)" xfId="36" xr:uid="{00000000-0005-0000-0000-000029000000}"/>
    <cellStyle name="x (2)" xfId="37" xr:uid="{00000000-0005-0000-0000-00002A000000}"/>
    <cellStyle name="Years" xfId="38" xr:uid="{00000000-0005-0000-0000-00002B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ECE582"/>
      <rgbColor rgb="FF0000FF"/>
      <rgbColor rgb="FFFFFF00"/>
      <rgbColor rgb="FFFF00FF"/>
      <rgbColor rgb="FFCDDC81"/>
      <rgbColor rgb="FF800000"/>
      <rgbColor rgb="FF008000"/>
      <rgbColor rgb="FF000080"/>
      <rgbColor rgb="FFFA8E72"/>
      <rgbColor rgb="FF800080"/>
      <rgbColor rgb="FFFDCF7E"/>
      <rgbColor rgb="FFBFBFBF"/>
      <rgbColor rgb="FF4F81BD"/>
      <rgbColor rgb="FF86C87D"/>
      <rgbColor rgb="FFC0504D"/>
      <rgbColor rgb="FFF7E883"/>
      <rgbColor rgb="FFD9E1F2"/>
      <rgbColor rgb="FF660066"/>
      <rgbColor rgb="FFF97C6E"/>
      <rgbColor rgb="FF0066CC"/>
      <rgbColor rgb="FFD9D9D9"/>
      <rgbColor rgb="FF000080"/>
      <rgbColor rgb="FFFF00FF"/>
      <rgbColor rgb="FFFEE783"/>
      <rgbColor rgb="FFE7E482"/>
      <rgbColor rgb="FF800080"/>
      <rgbColor rgb="FF800000"/>
      <rgbColor rgb="FFFED980"/>
      <rgbColor rgb="FF0000FF"/>
      <rgbColor rgb="FFC8DB80"/>
      <rgbColor rgb="FFD8E081"/>
      <rgbColor rgb="FFC6EFCE"/>
      <rgbColor rgb="FFFFFF99"/>
      <rgbColor rgb="FFA8D17E"/>
      <rgbColor rgb="FFFBA376"/>
      <rgbColor rgb="FFFBA576"/>
      <rgbColor rgb="FFFFCC99"/>
      <rgbColor rgb="FFFCBA7A"/>
      <rgbColor rgb="FF63BE7B"/>
      <rgbColor rgb="FF98CD7E"/>
      <rgbColor rgb="FFFDCA7D"/>
      <rgbColor rgb="FFFA9072"/>
      <rgbColor rgb="FFF8696B"/>
      <rgbColor rgb="FF666666"/>
      <rgbColor rgb="FF999999"/>
      <rgbColor rgb="FF003366"/>
      <rgbColor rgb="FFB9D67F"/>
      <rgbColor rgb="FF003300"/>
      <rgbColor rgb="FF333300"/>
      <rgbColor rgb="FFFCB97A"/>
      <rgbColor rgb="FFFCB379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400" b="0" strike="noStrike" spc="-1">
                <a:solidFill>
                  <a:srgbClr val="333333"/>
                </a:solidFill>
                <a:latin typeface="Calibri"/>
                <a:ea typeface="Calibri"/>
              </a:defRPr>
            </a:pPr>
            <a:r>
              <a:rPr sz="1400" b="0" strike="noStrike" spc="-1">
                <a:solidFill>
                  <a:srgbClr val="333333"/>
                </a:solidFill>
                <a:latin typeface="Calibri"/>
                <a:ea typeface="Calibri"/>
              </a:rPr>
              <a:t>Chart Title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8440" cap="rnd">
              <a:solidFill>
                <a:srgbClr val="4F81BD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Revenue!$A$1:$J$1</c:f>
              <c:numCache>
                <c:formatCode>_(* #,##0.00_);_(* \(#,##0.00\);_(* \-??_);_(@_)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B1-E34B-9077-2AC69F36E22A}"/>
            </c:ext>
          </c:extLst>
        </c:ser>
        <c:ser>
          <c:idx val="1"/>
          <c:order val="1"/>
          <c:spPr>
            <a:ln w="28440" cap="rnd">
              <a:solidFill>
                <a:srgbClr val="C0504D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Revenue!$A$2:$J$2</c:f>
              <c:numCache>
                <c:formatCode>\$#,##0.0_);"($"#,##0.0\)</c:formatCode>
                <c:ptCount val="10"/>
                <c:pt idx="0">
                  <c:v>63763</c:v>
                </c:pt>
                <c:pt idx="1">
                  <c:v>66025</c:v>
                </c:pt>
                <c:pt idx="2">
                  <c:v>72574</c:v>
                </c:pt>
                <c:pt idx="3">
                  <c:v>79042</c:v>
                </c:pt>
                <c:pt idx="4" formatCode="\$#,##0.0_);&quot;($&quot;#,##0.0\);@_)">
                  <c:v>85988</c:v>
                </c:pt>
                <c:pt idx="5" formatCode="\$#,##0.0_);&quot;($&quot;#,##0.0\);@_)">
                  <c:v>85988</c:v>
                </c:pt>
                <c:pt idx="6" formatCode="\$#,##0.0_);&quot;($&quot;#,##0.0\);@_)">
                  <c:v>85988</c:v>
                </c:pt>
                <c:pt idx="7" formatCode="\$#,##0.0_);&quot;($&quot;#,##0.0\);@_)">
                  <c:v>85988</c:v>
                </c:pt>
                <c:pt idx="8" formatCode="\$#,##0.0_);&quot;($&quot;#,##0.0\);@_)">
                  <c:v>85988</c:v>
                </c:pt>
                <c:pt idx="9" formatCode="\$#,##0.0_);&quot;($&quot;#,##0.0\);@_)">
                  <c:v>85988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B1-E34B-9077-2AC69F36E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5764229"/>
        <c:axId val="24180077"/>
      </c:lineChart>
      <c:catAx>
        <c:axId val="576422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333333"/>
                </a:solidFill>
                <a:latin typeface="Calibri"/>
                <a:ea typeface="Calibri"/>
              </a:defRPr>
            </a:pPr>
            <a:endParaRPr lang="en-US"/>
          </a:p>
        </c:txPr>
        <c:crossAx val="24180077"/>
        <c:crosses val="autoZero"/>
        <c:auto val="1"/>
        <c:lblAlgn val="ctr"/>
        <c:lblOffset val="100"/>
        <c:noMultiLvlLbl val="0"/>
      </c:catAx>
      <c:valAx>
        <c:axId val="24180077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_(* #,##0.00_);_(* \(#,##0.00\);_(* \-??_);_(@_)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333333"/>
                </a:solidFill>
                <a:latin typeface="Calibri"/>
                <a:ea typeface="Calibri"/>
              </a:defRPr>
            </a:pPr>
            <a:endParaRPr lang="en-US"/>
          </a:p>
        </c:txPr>
        <c:crossAx val="5764229"/>
        <c:crosses val="autoZero"/>
        <c:crossBetween val="between"/>
      </c:valAx>
      <c:spPr>
        <a:noFill/>
        <a:ln w="0">
          <a:noFill/>
        </a:ln>
      </c:spPr>
    </c:plotArea>
    <c:legend>
      <c:legendPos val="b"/>
      <c:layout>
        <c:manualLayout>
          <c:xMode val="edge"/>
          <c:yMode val="edge"/>
          <c:x val="0.31603714637922597"/>
          <c:y val="0.89048836401258602"/>
          <c:w val="0.36118531014768601"/>
          <c:h val="7.4207363667715506E-2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sz="825" b="0" strike="noStrike" spc="-1">
              <a:solidFill>
                <a:srgbClr val="333333"/>
              </a:solidFill>
              <a:latin typeface="Calibri"/>
              <a:ea typeface="Calibri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400" b="0" strike="noStrike" spc="-1">
                <a:solidFill>
                  <a:srgbClr val="333333"/>
                </a:solidFill>
                <a:latin typeface="Calibri"/>
                <a:ea typeface="Calibri"/>
              </a:defRPr>
            </a:pPr>
            <a:r>
              <a:rPr sz="1400" b="0" strike="noStrike" spc="-1">
                <a:solidFill>
                  <a:srgbClr val="333333"/>
                </a:solidFill>
                <a:latin typeface="Calibri"/>
                <a:ea typeface="Calibri"/>
              </a:rPr>
              <a:t>Chart Title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80" cap="rnd">
              <a:solidFill>
                <a:srgbClr val="4F81BD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19080" cap="rnd">
                <a:solidFill>
                  <a:srgbClr val="4F81BD"/>
                </a:solidFill>
                <a:prstDash val="sysDot"/>
                <a:round/>
              </a:ln>
            </c:spPr>
            <c:trendlineType val="linear"/>
            <c:dispRSqr val="0"/>
            <c:dispEq val="1"/>
            <c:trendlineLbl>
              <c:numFmt formatCode="General" sourceLinked="0"/>
            </c:trendlineLbl>
          </c:trendline>
          <c:xVal>
            <c:numRef>
              <c:f>Revenue!$A$1:$J$1</c:f>
              <c:numCache>
                <c:formatCode>_(* #,##0.00_);_(* \(#,##0.00\);_(* \-??_);_(@_)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Revenue!$A$2:$J$2</c:f>
              <c:numCache>
                <c:formatCode>\$#,##0.0_);"($"#,##0.0\)</c:formatCode>
                <c:ptCount val="10"/>
                <c:pt idx="0">
                  <c:v>63763</c:v>
                </c:pt>
                <c:pt idx="1">
                  <c:v>66025</c:v>
                </c:pt>
                <c:pt idx="2">
                  <c:v>72574</c:v>
                </c:pt>
                <c:pt idx="3">
                  <c:v>79042</c:v>
                </c:pt>
                <c:pt idx="4" formatCode="\$#,##0.0_);&quot;($&quot;#,##0.0\);@_)">
                  <c:v>85988</c:v>
                </c:pt>
                <c:pt idx="5" formatCode="\$#,##0.0_);&quot;($&quot;#,##0.0\);@_)">
                  <c:v>85988</c:v>
                </c:pt>
                <c:pt idx="6" formatCode="\$#,##0.0_);&quot;($&quot;#,##0.0\);@_)">
                  <c:v>85988</c:v>
                </c:pt>
                <c:pt idx="7" formatCode="\$#,##0.0_);&quot;($&quot;#,##0.0\);@_)">
                  <c:v>85988</c:v>
                </c:pt>
                <c:pt idx="8" formatCode="\$#,##0.0_);&quot;($&quot;#,##0.0\);@_)">
                  <c:v>85988</c:v>
                </c:pt>
                <c:pt idx="9" formatCode="\$#,##0.0_);&quot;($&quot;#,##0.0\);@_)">
                  <c:v>85988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2A7-2246-891C-8FF0D8979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399077"/>
        <c:axId val="19102785"/>
      </c:scatterChart>
      <c:valAx>
        <c:axId val="60399077"/>
        <c:scaling>
          <c:orientation val="minMax"/>
        </c:scaling>
        <c:delete val="0"/>
        <c:axPos val="b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_(* #,##0.00_);_(* \(#,##0.00\);_(* \-??_);_(@_)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333333"/>
                </a:solidFill>
                <a:latin typeface="Calibri"/>
                <a:ea typeface="Calibri"/>
              </a:defRPr>
            </a:pPr>
            <a:endParaRPr lang="en-US"/>
          </a:p>
        </c:txPr>
        <c:crossAx val="19102785"/>
        <c:crosses val="autoZero"/>
        <c:crossBetween val="midCat"/>
      </c:valAx>
      <c:valAx>
        <c:axId val="19102785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\$#,##0.0_);&quot;($&quot;#,##0.0\)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333333"/>
                </a:solidFill>
                <a:latin typeface="Calibri"/>
                <a:ea typeface="Calibri"/>
              </a:defRPr>
            </a:pPr>
            <a:endParaRPr lang="en-US"/>
          </a:p>
        </c:txPr>
        <c:crossAx val="60399077"/>
        <c:crosses val="autoZero"/>
        <c:crossBetween val="midCat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400" b="0" strike="noStrike" spc="-1">
                <a:solidFill>
                  <a:srgbClr val="333333"/>
                </a:solidFill>
                <a:latin typeface="Calibri"/>
                <a:ea typeface="Calibri"/>
              </a:defRPr>
            </a:pPr>
            <a:r>
              <a:rPr sz="1400" b="0" strike="noStrike" spc="-1">
                <a:solidFill>
                  <a:srgbClr val="333333"/>
                </a:solidFill>
                <a:latin typeface="Calibri"/>
                <a:ea typeface="Calibri"/>
              </a:rPr>
              <a:t>Chart Title</a:t>
            </a:r>
          </a:p>
        </c:rich>
      </c:tx>
      <c:overlay val="0"/>
      <c:spPr>
        <a:noFill/>
        <a:ln w="2556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80" cap="rnd">
              <a:solidFill>
                <a:srgbClr val="4F81BD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19080" cap="rnd">
                <a:solidFill>
                  <a:srgbClr val="4F81BD"/>
                </a:solidFill>
                <a:prstDash val="sysDot"/>
                <a:round/>
              </a:ln>
            </c:spPr>
            <c:trendlineType val="linear"/>
            <c:dispRSqr val="1"/>
            <c:dispEq val="1"/>
            <c:trendlineLbl>
              <c:numFmt formatCode="General" sourceLinked="0"/>
            </c:trendlineLbl>
          </c:trendline>
          <c:xVal>
            <c:numRef>
              <c:f>Payables_Chart!$A$1:$E$1</c:f>
              <c:numCache>
                <c:formatCode>_(* #,##0.00_);_(* \(#,##0.00\);_(* \-??_);_(@_)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xVal>
          <c:yVal>
            <c:numRef>
              <c:f>Payables_Chart!$A$2:$E$2</c:f>
              <c:numCache>
                <c:formatCode>0.00%</c:formatCode>
                <c:ptCount val="5"/>
                <c:pt idx="0">
                  <c:v>0.32895252732776098</c:v>
                </c:pt>
                <c:pt idx="1">
                  <c:v>0.340325634229459</c:v>
                </c:pt>
                <c:pt idx="2">
                  <c:v>0.37094551767850797</c:v>
                </c:pt>
                <c:pt idx="3">
                  <c:v>0.38396042610257802</c:v>
                </c:pt>
                <c:pt idx="4">
                  <c:v>0.37193561892357102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B06-6349-B317-976884012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763475"/>
        <c:axId val="43685456"/>
      </c:scatterChart>
      <c:valAx>
        <c:axId val="96763475"/>
        <c:scaling>
          <c:orientation val="minMax"/>
        </c:scaling>
        <c:delete val="0"/>
        <c:axPos val="b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_(* #,##0.00_);_(* \(#,##0.00\);_(* \-??_);_(@_)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333333"/>
                </a:solidFill>
                <a:latin typeface="Calibri"/>
                <a:ea typeface="Calibri"/>
              </a:defRPr>
            </a:pPr>
            <a:endParaRPr lang="en-US"/>
          </a:p>
        </c:txPr>
        <c:crossAx val="43685456"/>
        <c:crosses val="autoZero"/>
        <c:crossBetween val="midCat"/>
      </c:valAx>
      <c:valAx>
        <c:axId val="43685456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0.00%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333333"/>
                </a:solidFill>
                <a:latin typeface="Calibri"/>
                <a:ea typeface="Calibri"/>
              </a:defRPr>
            </a:pPr>
            <a:endParaRPr lang="en-US"/>
          </a:p>
        </c:txPr>
        <c:crossAx val="96763475"/>
        <c:crosses val="autoZero"/>
        <c:crossBetween val="midCat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400" b="0" strike="noStrike" spc="-1">
                <a:solidFill>
                  <a:srgbClr val="333333"/>
                </a:solidFill>
                <a:latin typeface="Calibri"/>
                <a:ea typeface="Calibri"/>
              </a:defRPr>
            </a:pPr>
            <a:r>
              <a:rPr sz="1400" b="0" strike="noStrike" spc="-1">
                <a:solidFill>
                  <a:srgbClr val="333333"/>
                </a:solidFill>
                <a:latin typeface="Calibri"/>
                <a:ea typeface="Calibri"/>
              </a:rPr>
              <a:t>Chart Title</a:t>
            </a:r>
          </a:p>
        </c:rich>
      </c:tx>
      <c:overlay val="0"/>
      <c:spPr>
        <a:noFill/>
        <a:ln w="2556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80" cap="rnd">
              <a:solidFill>
                <a:srgbClr val="4F81BD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19080" cap="rnd">
                <a:solidFill>
                  <a:srgbClr val="4F81BD"/>
                </a:solidFill>
                <a:prstDash val="sysDot"/>
                <a:round/>
              </a:ln>
            </c:spPr>
            <c:trendlineType val="linear"/>
            <c:dispRSqr val="1"/>
            <c:dispEq val="1"/>
            <c:trendlineLbl>
              <c:numFmt formatCode="General" sourceLinked="0"/>
            </c:trendlineLbl>
          </c:trendline>
          <c:xVal>
            <c:numRef>
              <c:f>Inventories_Chart!$A$1:$E$1</c:f>
              <c:numCache>
                <c:formatCode>_(* #,##0.00_);_(* \(#,##0.00\);_(* \-??_);_(@_)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xVal>
          <c:yVal>
            <c:numRef>
              <c:f>Inventories_Chart!$A$2:$E$2</c:f>
              <c:numCache>
                <c:formatCode>0.00%</c:formatCode>
                <c:ptCount val="5"/>
                <c:pt idx="0">
                  <c:v>0.14782867807349101</c:v>
                </c:pt>
                <c:pt idx="1">
                  <c:v>0.15816736084816399</c:v>
                </c:pt>
                <c:pt idx="2">
                  <c:v>0.166037423870808</c:v>
                </c:pt>
                <c:pt idx="3">
                  <c:v>0.170352470838289</c:v>
                </c:pt>
                <c:pt idx="4">
                  <c:v>0.16055728706331099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4D8-024A-AACB-24481E26F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79473"/>
        <c:axId val="7050667"/>
      </c:scatterChart>
      <c:valAx>
        <c:axId val="91479473"/>
        <c:scaling>
          <c:orientation val="minMax"/>
        </c:scaling>
        <c:delete val="0"/>
        <c:axPos val="b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_(* #,##0.00_);_(* \(#,##0.00\);_(* \-??_);_(@_)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333333"/>
                </a:solidFill>
                <a:latin typeface="Calibri"/>
                <a:ea typeface="Calibri"/>
              </a:defRPr>
            </a:pPr>
            <a:endParaRPr lang="en-US"/>
          </a:p>
        </c:txPr>
        <c:crossAx val="7050667"/>
        <c:crosses val="autoZero"/>
        <c:crossBetween val="midCat"/>
      </c:valAx>
      <c:valAx>
        <c:axId val="7050667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0.00%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333333"/>
                </a:solidFill>
                <a:latin typeface="Calibri"/>
                <a:ea typeface="Calibri"/>
              </a:defRPr>
            </a:pPr>
            <a:endParaRPr lang="en-US"/>
          </a:p>
        </c:txPr>
        <c:crossAx val="91479473"/>
        <c:crosses val="autoZero"/>
        <c:crossBetween val="midCat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400" b="0" strike="noStrike" spc="-1">
                <a:solidFill>
                  <a:srgbClr val="333333"/>
                </a:solidFill>
                <a:latin typeface="Calibri"/>
                <a:ea typeface="Calibri"/>
              </a:defRPr>
            </a:pPr>
            <a:r>
              <a:rPr sz="1400" b="0" strike="noStrike" spc="-1">
                <a:solidFill>
                  <a:srgbClr val="333333"/>
                </a:solidFill>
                <a:latin typeface="Calibri"/>
                <a:ea typeface="Calibri"/>
              </a:rPr>
              <a:t>Chart Title</a:t>
            </a:r>
          </a:p>
        </c:rich>
      </c:tx>
      <c:overlay val="0"/>
      <c:spPr>
        <a:noFill/>
        <a:ln w="2556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80" cap="rnd">
              <a:solidFill>
                <a:srgbClr val="4F81BD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19080" cap="rnd">
                <a:solidFill>
                  <a:srgbClr val="4F81BD"/>
                </a:solidFill>
                <a:prstDash val="sysDot"/>
                <a:round/>
              </a:ln>
            </c:spPr>
            <c:trendlineType val="linear"/>
            <c:dispRSqr val="1"/>
            <c:dispEq val="1"/>
            <c:trendlineLbl>
              <c:numFmt formatCode="General" sourceLinked="0"/>
            </c:trendlineLbl>
          </c:trendline>
          <c:xVal>
            <c:numRef>
              <c:f>ar_Chart!$A$1:$E$1</c:f>
              <c:numCache>
                <c:formatCode>_(* #,##0.00_);_(* \(#,##0.00\);_(* \-??_);_(@_)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xVal>
          <c:yVal>
            <c:numRef>
              <c:f>ar_Chart!$A$2:$E$2</c:f>
              <c:numCache>
                <c:formatCode>0.00%</c:formatCode>
                <c:ptCount val="5"/>
                <c:pt idx="0">
                  <c:v>0.149585182629425</c:v>
                </c:pt>
                <c:pt idx="1">
                  <c:v>0.139840969329799</c:v>
                </c:pt>
                <c:pt idx="2">
                  <c:v>0.13858957753465401</c:v>
                </c:pt>
                <c:pt idx="3">
                  <c:v>0.127742213000683</c:v>
                </c:pt>
                <c:pt idx="4">
                  <c:v>0.14928827278224899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62F-A644-AABC-034B8EB52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780002"/>
        <c:axId val="41768473"/>
      </c:scatterChart>
      <c:valAx>
        <c:axId val="42780002"/>
        <c:scaling>
          <c:orientation val="minMax"/>
        </c:scaling>
        <c:delete val="0"/>
        <c:axPos val="b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_(* #,##0.00_);_(* \(#,##0.00\);_(* \-??_);_(@_)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333333"/>
                </a:solidFill>
                <a:latin typeface="Calibri"/>
                <a:ea typeface="Calibri"/>
              </a:defRPr>
            </a:pPr>
            <a:endParaRPr lang="en-US"/>
          </a:p>
        </c:txPr>
        <c:crossAx val="41768473"/>
        <c:crosses val="autoZero"/>
        <c:crossBetween val="midCat"/>
      </c:valAx>
      <c:valAx>
        <c:axId val="41768473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0.00%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333333"/>
                </a:solidFill>
                <a:latin typeface="Calibri"/>
                <a:ea typeface="Calibri"/>
              </a:defRPr>
            </a:pPr>
            <a:endParaRPr lang="en-US"/>
          </a:p>
        </c:txPr>
        <c:crossAx val="42780002"/>
        <c:crosses val="autoZero"/>
        <c:crossBetween val="midCat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104760</xdr:colOff>
      <xdr:row>15</xdr:row>
      <xdr:rowOff>154440</xdr:rowOff>
    </xdr:from>
    <xdr:to>
      <xdr:col>13</xdr:col>
      <xdr:colOff>511560</xdr:colOff>
      <xdr:row>32</xdr:row>
      <xdr:rowOff>94320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247680</xdr:colOff>
      <xdr:row>5</xdr:row>
      <xdr:rowOff>116280</xdr:rowOff>
    </xdr:from>
    <xdr:to>
      <xdr:col>18</xdr:col>
      <xdr:colOff>740160</xdr:colOff>
      <xdr:row>44</xdr:row>
      <xdr:rowOff>160920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257040</xdr:colOff>
      <xdr:row>2</xdr:row>
      <xdr:rowOff>68400</xdr:rowOff>
    </xdr:from>
    <xdr:to>
      <xdr:col>20</xdr:col>
      <xdr:colOff>435240</xdr:colOff>
      <xdr:row>44</xdr:row>
      <xdr:rowOff>123120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504720</xdr:colOff>
      <xdr:row>2</xdr:row>
      <xdr:rowOff>39600</xdr:rowOff>
    </xdr:from>
    <xdr:to>
      <xdr:col>22</xdr:col>
      <xdr:colOff>301680</xdr:colOff>
      <xdr:row>37</xdr:row>
      <xdr:rowOff>56160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76320</xdr:colOff>
      <xdr:row>4</xdr:row>
      <xdr:rowOff>97200</xdr:rowOff>
    </xdr:from>
    <xdr:to>
      <xdr:col>24</xdr:col>
      <xdr:colOff>130680</xdr:colOff>
      <xdr:row>37</xdr:row>
      <xdr:rowOff>122760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5"/>
  <sheetViews>
    <sheetView tabSelected="1" topLeftCell="A57" zoomScale="90" zoomScaleNormal="100" workbookViewId="0">
      <selection activeCell="C69" sqref="C69"/>
    </sheetView>
  </sheetViews>
  <sheetFormatPr baseColWidth="10" defaultColWidth="8.83203125" defaultRowHeight="13" x14ac:dyDescent="0.15"/>
  <cols>
    <col min="1" max="1" width="1.6640625" customWidth="1"/>
    <col min="2" max="2" width="37.5" customWidth="1"/>
    <col min="3" max="3" width="12.33203125" customWidth="1"/>
    <col min="4" max="4" width="15" customWidth="1"/>
    <col min="5" max="12" width="12.33203125" customWidth="1"/>
    <col min="13" max="13" width="12.6640625" customWidth="1"/>
    <col min="14" max="14" width="17.5" customWidth="1"/>
    <col min="15" max="15" width="18.5" customWidth="1"/>
  </cols>
  <sheetData>
    <row r="1" spans="1:19" s="3" customFormat="1" ht="21.75" customHeight="1" x14ac:dyDescent="0.3">
      <c r="A1" s="138"/>
      <c r="B1" s="139"/>
      <c r="C1" s="140"/>
      <c r="D1" s="140"/>
      <c r="E1" s="140"/>
      <c r="F1" s="140"/>
      <c r="G1" s="140"/>
      <c r="H1" s="140"/>
      <c r="I1" s="140"/>
      <c r="J1" s="140"/>
      <c r="K1" s="140"/>
      <c r="L1" s="140"/>
    </row>
    <row r="2" spans="1:19" ht="12.75" customHeight="1" x14ac:dyDescent="0.15">
      <c r="B2" s="137"/>
      <c r="C2" s="137"/>
      <c r="D2" s="137"/>
      <c r="E2" s="137"/>
      <c r="F2" s="137"/>
    </row>
    <row r="3" spans="1:19" s="4" customFormat="1" ht="13.5" customHeight="1" x14ac:dyDescent="0.2">
      <c r="B3" s="5" t="s">
        <v>0</v>
      </c>
      <c r="C3" s="6"/>
      <c r="D3" s="6"/>
      <c r="E3" s="6"/>
      <c r="F3" s="7"/>
      <c r="J3" s="4" t="s">
        <v>1</v>
      </c>
    </row>
    <row r="4" spans="1:19" s="4" customFormat="1" ht="13.5" customHeight="1" x14ac:dyDescent="0.2">
      <c r="B4" s="5" t="s">
        <v>2</v>
      </c>
      <c r="C4" s="6"/>
      <c r="D4" s="6"/>
      <c r="E4" s="6"/>
      <c r="F4" s="8">
        <v>175.63</v>
      </c>
    </row>
    <row r="5" spans="1:19" s="4" customFormat="1" ht="13.5" customHeight="1" x14ac:dyDescent="0.2">
      <c r="B5" s="5" t="s">
        <v>3</v>
      </c>
      <c r="C5" s="6"/>
      <c r="D5" s="6"/>
      <c r="E5" s="6"/>
      <c r="F5" s="9">
        <v>1340</v>
      </c>
    </row>
    <row r="6" spans="1:19" s="4" customFormat="1" ht="13.5" customHeight="1" x14ac:dyDescent="0.2">
      <c r="B6" s="5"/>
      <c r="C6" s="10">
        <v>1</v>
      </c>
      <c r="D6" s="10">
        <v>2</v>
      </c>
      <c r="E6" s="10">
        <v>3</v>
      </c>
      <c r="F6" s="11">
        <v>4</v>
      </c>
      <c r="G6" s="12">
        <v>5</v>
      </c>
      <c r="H6" s="12">
        <v>6</v>
      </c>
      <c r="I6" s="12">
        <v>7</v>
      </c>
      <c r="J6" s="12">
        <v>8</v>
      </c>
      <c r="K6" s="12">
        <v>9</v>
      </c>
      <c r="L6" s="12">
        <v>10</v>
      </c>
    </row>
    <row r="7" spans="1:19" s="4" customFormat="1" ht="17.25" customHeight="1" x14ac:dyDescent="0.25">
      <c r="B7" s="13" t="s">
        <v>4</v>
      </c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19" s="4" customFormat="1" ht="13.5" customHeight="1" x14ac:dyDescent="0.2">
      <c r="B8" s="5"/>
      <c r="C8" s="14"/>
      <c r="D8" s="15"/>
      <c r="E8" s="15"/>
      <c r="F8" s="15"/>
      <c r="G8" s="16"/>
      <c r="H8" s="2" t="s">
        <v>5</v>
      </c>
      <c r="I8" s="2"/>
      <c r="J8" s="2"/>
      <c r="K8" s="2"/>
      <c r="L8" s="2"/>
      <c r="O8" s="17"/>
    </row>
    <row r="9" spans="1:19" s="4" customFormat="1" ht="13.5" customHeight="1" x14ac:dyDescent="0.2">
      <c r="B9" s="5"/>
      <c r="C9" s="18">
        <f>D9-365</f>
        <v>44470</v>
      </c>
      <c r="D9" s="18">
        <f>E9-365</f>
        <v>44835</v>
      </c>
      <c r="E9" s="18">
        <f>F9-365</f>
        <v>45200</v>
      </c>
      <c r="F9" s="18">
        <f>G9-365</f>
        <v>45565</v>
      </c>
      <c r="G9" s="18">
        <v>45930</v>
      </c>
      <c r="H9" s="19">
        <f>G9+365</f>
        <v>46295</v>
      </c>
      <c r="I9" s="19">
        <f>H9+365</f>
        <v>46660</v>
      </c>
      <c r="J9" s="19">
        <f>I9+365</f>
        <v>47025</v>
      </c>
      <c r="K9" s="19">
        <f>J9+365</f>
        <v>47390</v>
      </c>
      <c r="L9" s="19">
        <f>K9+365</f>
        <v>47755</v>
      </c>
      <c r="O9" s="17"/>
    </row>
    <row r="10" spans="1:19" s="4" customFormat="1" ht="13.5" customHeight="1" x14ac:dyDescent="0.2">
      <c r="B10" s="5" t="s">
        <v>7</v>
      </c>
      <c r="C10" s="20">
        <v>63763</v>
      </c>
      <c r="D10" s="20">
        <v>66025</v>
      </c>
      <c r="E10" s="20">
        <v>72574</v>
      </c>
      <c r="F10" s="20">
        <v>79042</v>
      </c>
      <c r="G10" s="21">
        <v>85988</v>
      </c>
      <c r="H10" s="22">
        <f>G10*(1+H11)</f>
        <v>90975.304000000004</v>
      </c>
      <c r="I10" s="22">
        <f>H10*(1+I11)</f>
        <v>96251.871632000009</v>
      </c>
      <c r="J10" s="22">
        <f>I10*(1+J11)</f>
        <v>101834.48018665602</v>
      </c>
      <c r="K10" s="22">
        <f>J10*(1+K11)</f>
        <v>107740.88003748207</v>
      </c>
      <c r="L10" s="22">
        <f>K10*(1+L11)</f>
        <v>113989.85107965604</v>
      </c>
    </row>
    <row r="11" spans="1:19" s="4" customFormat="1" ht="13.5" customHeight="1" x14ac:dyDescent="0.2">
      <c r="B11" s="23" t="s">
        <v>8</v>
      </c>
      <c r="C11" s="6"/>
      <c r="D11" s="24">
        <f>D10/C10-1</f>
        <v>3.5475118799303651E-2</v>
      </c>
      <c r="E11" s="24">
        <f>E10/D10-1</f>
        <v>9.9189700870882191E-2</v>
      </c>
      <c r="F11" s="24">
        <f>F10/E10-1</f>
        <v>8.9122826356546447E-2</v>
      </c>
      <c r="G11" s="24">
        <f>G10/F10-1</f>
        <v>8.7877331039194262E-2</v>
      </c>
      <c r="H11" s="25">
        <v>5.8000000000000003E-2</v>
      </c>
      <c r="I11" s="25">
        <f>H11</f>
        <v>5.8000000000000003E-2</v>
      </c>
      <c r="J11" s="25">
        <f>I11</f>
        <v>5.8000000000000003E-2</v>
      </c>
      <c r="K11" s="25">
        <f>J11</f>
        <v>5.8000000000000003E-2</v>
      </c>
      <c r="L11" s="25">
        <f>K11</f>
        <v>5.8000000000000003E-2</v>
      </c>
    </row>
    <row r="12" spans="1:19" s="4" customFormat="1" ht="13.5" customHeight="1" x14ac:dyDescent="0.2">
      <c r="B12" s="5" t="s">
        <v>6</v>
      </c>
      <c r="C12" s="6"/>
      <c r="D12" s="24">
        <f>D11+1</f>
        <v>1.0354751187993037</v>
      </c>
      <c r="E12" s="24">
        <f>E11+1</f>
        <v>1.0991897008708822</v>
      </c>
      <c r="F12" s="24">
        <f>F11+1</f>
        <v>1.0891228263565464</v>
      </c>
      <c r="G12" s="24">
        <f>G11+1</f>
        <v>1.0878773310391943</v>
      </c>
      <c r="H12" s="26"/>
      <c r="I12" s="26"/>
      <c r="J12" s="26"/>
      <c r="K12" s="26"/>
      <c r="L12" s="26"/>
      <c r="N12" s="4" t="s">
        <v>9</v>
      </c>
      <c r="O12" s="27">
        <v>-1748</v>
      </c>
      <c r="P12" s="27">
        <v>-1894</v>
      </c>
      <c r="Q12" s="27">
        <v>-1801</v>
      </c>
      <c r="R12" s="27">
        <v>-1580</v>
      </c>
      <c r="S12" s="27">
        <v>-1465</v>
      </c>
    </row>
    <row r="13" spans="1:19" s="4" customFormat="1" ht="13.5" customHeight="1" x14ac:dyDescent="0.2">
      <c r="B13" s="4" t="s">
        <v>10</v>
      </c>
      <c r="C13" s="10">
        <f>LN(C10)</f>
        <v>11.062928363800124</v>
      </c>
      <c r="D13" s="10">
        <f>LN(D10)</f>
        <v>11.097788737165333</v>
      </c>
      <c r="E13" s="10">
        <f>LN(E10)</f>
        <v>11.192362009948436</v>
      </c>
      <c r="F13" s="10">
        <f>LN(F10)</f>
        <v>11.277734635745343</v>
      </c>
      <c r="G13" s="10">
        <f>LN(G10)</f>
        <v>11.361963030616026</v>
      </c>
      <c r="H13" s="28"/>
      <c r="I13" s="28"/>
      <c r="J13" s="28"/>
      <c r="K13" s="28"/>
      <c r="L13" s="28"/>
      <c r="N13" s="4" t="s">
        <v>11</v>
      </c>
      <c r="O13" s="27">
        <v>6160</v>
      </c>
      <c r="P13" s="27">
        <v>7480</v>
      </c>
      <c r="Q13" s="27">
        <v>8611</v>
      </c>
      <c r="R13" s="27">
        <v>9849</v>
      </c>
      <c r="S13" s="27">
        <v>11196</v>
      </c>
    </row>
    <row r="14" spans="1:19" s="4" customFormat="1" ht="13.5" customHeight="1" x14ac:dyDescent="0.2">
      <c r="B14" s="5" t="s">
        <v>11</v>
      </c>
      <c r="C14" s="21">
        <v>4412</v>
      </c>
      <c r="D14" s="21">
        <v>5586</v>
      </c>
      <c r="E14" s="21">
        <v>6810</v>
      </c>
      <c r="F14" s="21">
        <v>8269</v>
      </c>
      <c r="G14" s="21">
        <v>9731</v>
      </c>
      <c r="H14" s="29">
        <f>H10*H15</f>
        <v>10352.989595200001</v>
      </c>
      <c r="I14" s="29">
        <f>I15*I10</f>
        <v>10953.462991721601</v>
      </c>
      <c r="J14" s="29">
        <f>J15*J10</f>
        <v>11588.763845241454</v>
      </c>
      <c r="K14" s="29">
        <f>K15*K10</f>
        <v>12260.912148265459</v>
      </c>
      <c r="L14" s="29">
        <f>L15*L10</f>
        <v>12972.045052864858</v>
      </c>
      <c r="N14" s="4" t="s">
        <v>12</v>
      </c>
      <c r="O14" s="30">
        <f>SUM(O12:O13)</f>
        <v>4412</v>
      </c>
      <c r="P14" s="30">
        <f>SUM(P12:P13)</f>
        <v>5586</v>
      </c>
      <c r="Q14" s="30">
        <f>SUM(Q12:Q13)</f>
        <v>6810</v>
      </c>
      <c r="R14" s="30">
        <f>SUM(R12:R13)</f>
        <v>8269</v>
      </c>
      <c r="S14" s="30">
        <f>SUM(S12:S13)</f>
        <v>9731</v>
      </c>
    </row>
    <row r="15" spans="1:19" s="4" customFormat="1" ht="13.5" customHeight="1" x14ac:dyDescent="0.2">
      <c r="B15" s="23" t="s">
        <v>13</v>
      </c>
      <c r="C15" s="24">
        <f>C14/C10</f>
        <v>6.919373304267365E-2</v>
      </c>
      <c r="D15" s="24">
        <f>D14/D10</f>
        <v>8.4604316546762592E-2</v>
      </c>
      <c r="E15" s="24">
        <f>E14/E10</f>
        <v>9.3835257805825772E-2</v>
      </c>
      <c r="F15" s="24">
        <f>F14/F10</f>
        <v>0.10461526783229169</v>
      </c>
      <c r="G15" s="24">
        <f>G14/G10</f>
        <v>0.11316695352839931</v>
      </c>
      <c r="H15" s="25">
        <v>0.1138</v>
      </c>
      <c r="I15" s="25">
        <f>H15</f>
        <v>0.1138</v>
      </c>
      <c r="J15" s="25">
        <f>I15</f>
        <v>0.1138</v>
      </c>
      <c r="K15" s="25">
        <f>J15</f>
        <v>0.1138</v>
      </c>
      <c r="L15" s="25">
        <f>K15</f>
        <v>0.1138</v>
      </c>
    </row>
    <row r="16" spans="1:19" s="4" customFormat="1" ht="13.5" customHeight="1" x14ac:dyDescent="0.2">
      <c r="B16" s="5"/>
      <c r="C16" s="6"/>
      <c r="D16" s="6"/>
      <c r="E16" s="6"/>
      <c r="F16" s="31"/>
    </row>
    <row r="17" spans="2:18" s="4" customFormat="1" ht="13.5" customHeight="1" x14ac:dyDescent="0.2">
      <c r="B17" s="5" t="s">
        <v>14</v>
      </c>
      <c r="C17" s="32">
        <v>4566</v>
      </c>
      <c r="D17" s="32">
        <v>4204</v>
      </c>
      <c r="E17" s="32">
        <v>4200</v>
      </c>
      <c r="F17" s="32">
        <v>4284</v>
      </c>
      <c r="G17" s="32">
        <v>4358</v>
      </c>
      <c r="H17" s="29">
        <f>G17*(1+H19)</f>
        <v>4410.763905838051</v>
      </c>
      <c r="I17" s="29">
        <f>H17*(1+I19)</f>
        <v>4464.1666436539099</v>
      </c>
      <c r="J17" s="29">
        <f>I17*(1+J19)</f>
        <v>4518.2159480208502</v>
      </c>
      <c r="K17" s="29">
        <f>J17*(1+K19)</f>
        <v>4572.9196471574614</v>
      </c>
      <c r="L17" s="29">
        <f>K17*(1+L19)</f>
        <v>4628.2856640614518</v>
      </c>
    </row>
    <row r="18" spans="2:18" s="4" customFormat="1" ht="13.5" customHeight="1" x14ac:dyDescent="0.2">
      <c r="B18" s="23" t="s">
        <v>15</v>
      </c>
      <c r="C18" s="6"/>
      <c r="D18" s="6"/>
      <c r="E18" s="6"/>
      <c r="F18" s="31"/>
      <c r="H18" s="33">
        <v>0</v>
      </c>
      <c r="I18" s="33">
        <v>0</v>
      </c>
      <c r="J18" s="33">
        <v>0</v>
      </c>
      <c r="K18" s="33">
        <v>0</v>
      </c>
      <c r="L18" s="33">
        <v>0</v>
      </c>
    </row>
    <row r="19" spans="2:18" s="4" customFormat="1" ht="13.5" customHeight="1" x14ac:dyDescent="0.2">
      <c r="B19" s="5" t="s">
        <v>16</v>
      </c>
      <c r="C19" s="6"/>
      <c r="D19" s="24">
        <f>D17/C17-1</f>
        <v>-7.928164695576001E-2</v>
      </c>
      <c r="E19" s="24">
        <f>E17/D17-1</f>
        <v>-9.5147478591817158E-4</v>
      </c>
      <c r="F19" s="24">
        <f>F17/E17-1</f>
        <v>2.0000000000000018E-2</v>
      </c>
      <c r="G19" s="24">
        <f>G17/F17-1</f>
        <v>1.7273576097105448E-2</v>
      </c>
      <c r="H19" s="17">
        <f>AVERAGE(E19:G19)</f>
        <v>1.2107367103729097E-2</v>
      </c>
      <c r="I19" s="17">
        <f>H19</f>
        <v>1.2107367103729097E-2</v>
      </c>
      <c r="J19" s="17">
        <f>I19</f>
        <v>1.2107367103729097E-2</v>
      </c>
      <c r="K19" s="17">
        <f>J19</f>
        <v>1.2107367103729097E-2</v>
      </c>
      <c r="L19" s="17">
        <f>K19</f>
        <v>1.2107367103729097E-2</v>
      </c>
    </row>
    <row r="20" spans="2:18" s="4" customFormat="1" ht="17.25" customHeight="1" x14ac:dyDescent="0.25">
      <c r="B20" s="13" t="s">
        <v>17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N20" s="17"/>
    </row>
    <row r="21" spans="2:18" s="4" customFormat="1" ht="13.5" customHeight="1" x14ac:dyDescent="0.2">
      <c r="B21" s="5"/>
      <c r="C21" s="14"/>
      <c r="D21" s="15"/>
      <c r="E21" s="15"/>
      <c r="F21" s="15"/>
      <c r="G21" s="16"/>
      <c r="H21" s="2" t="s">
        <v>5</v>
      </c>
      <c r="I21" s="2"/>
      <c r="J21" s="2"/>
      <c r="K21" s="2"/>
      <c r="L21" s="2"/>
    </row>
    <row r="22" spans="2:18" s="4" customFormat="1" ht="13.5" customHeight="1" x14ac:dyDescent="0.2">
      <c r="B22" s="5"/>
      <c r="C22" s="18">
        <f>D22-365</f>
        <v>44470</v>
      </c>
      <c r="D22" s="18">
        <f>E22-365</f>
        <v>44835</v>
      </c>
      <c r="E22" s="18">
        <f>F22-365</f>
        <v>45200</v>
      </c>
      <c r="F22" s="18">
        <f>G22-365</f>
        <v>45565</v>
      </c>
      <c r="G22" s="18">
        <v>45930</v>
      </c>
      <c r="H22" s="19">
        <f>G22+365</f>
        <v>46295</v>
      </c>
      <c r="I22" s="19">
        <f>H22+365</f>
        <v>46660</v>
      </c>
      <c r="J22" s="19">
        <f>I22+365</f>
        <v>47025</v>
      </c>
      <c r="K22" s="19">
        <f>J22+365</f>
        <v>47390</v>
      </c>
      <c r="L22" s="19">
        <f>K22+365</f>
        <v>47755</v>
      </c>
      <c r="N22" s="29"/>
    </row>
    <row r="23" spans="2:18" s="4" customFormat="1" ht="13.5" customHeight="1" x14ac:dyDescent="0.2">
      <c r="B23" s="34" t="s">
        <v>18</v>
      </c>
      <c r="C23" s="35">
        <v>9538</v>
      </c>
      <c r="D23" s="35">
        <v>9233</v>
      </c>
      <c r="E23" s="35">
        <v>10058</v>
      </c>
      <c r="F23" s="35">
        <v>10097</v>
      </c>
      <c r="G23" s="35">
        <v>12837</v>
      </c>
      <c r="H23" s="36">
        <f>H10*H30</f>
        <v>13581.546</v>
      </c>
      <c r="I23" s="36">
        <f>I10*I30</f>
        <v>14369.275668</v>
      </c>
      <c r="J23" s="36">
        <f>J10*J30</f>
        <v>15202.693656744003</v>
      </c>
      <c r="K23" s="36">
        <f>K10*K30</f>
        <v>16084.449888835155</v>
      </c>
      <c r="L23" s="36">
        <f>L10*L30</f>
        <v>17017.347982387597</v>
      </c>
    </row>
    <row r="24" spans="2:18" s="4" customFormat="1" ht="13.5" customHeight="1" x14ac:dyDescent="0.2">
      <c r="B24" s="34" t="s">
        <v>19</v>
      </c>
      <c r="C24" s="35">
        <v>9426</v>
      </c>
      <c r="D24" s="35">
        <v>10443</v>
      </c>
      <c r="E24" s="35">
        <v>12050</v>
      </c>
      <c r="F24" s="35">
        <v>13465</v>
      </c>
      <c r="G24" s="35">
        <v>13806</v>
      </c>
      <c r="H24" s="36">
        <f>H10*H31</f>
        <v>14606.748</v>
      </c>
      <c r="I24" s="36">
        <f>I10*I31</f>
        <v>15453.939384000001</v>
      </c>
      <c r="J24" s="36">
        <f>J10*J31</f>
        <v>16350.267868272002</v>
      </c>
      <c r="K24" s="36">
        <f>K10*K31</f>
        <v>17298.58340463178</v>
      </c>
      <c r="L24" s="36">
        <f>L10*L31</f>
        <v>18301.901242100423</v>
      </c>
    </row>
    <row r="25" spans="2:18" s="4" customFormat="1" ht="13.5" customHeight="1" x14ac:dyDescent="0.2">
      <c r="B25" s="5" t="s">
        <v>20</v>
      </c>
      <c r="C25" s="10">
        <v>16393</v>
      </c>
      <c r="D25" s="10">
        <v>16470</v>
      </c>
      <c r="E25" s="10">
        <v>17102</v>
      </c>
      <c r="F25" s="11">
        <v>17732</v>
      </c>
      <c r="G25" s="12">
        <v>18224</v>
      </c>
      <c r="N25" s="10"/>
      <c r="O25" s="10"/>
      <c r="P25" s="10"/>
      <c r="Q25" s="11"/>
      <c r="R25" s="12"/>
    </row>
    <row r="26" spans="2:18" s="4" customFormat="1" ht="13.5" customHeight="1" x14ac:dyDescent="0.2">
      <c r="B26" s="34" t="s">
        <v>21</v>
      </c>
      <c r="C26" s="21">
        <v>20975</v>
      </c>
      <c r="D26" s="21">
        <v>22470</v>
      </c>
      <c r="E26" s="21">
        <v>26921</v>
      </c>
      <c r="F26" s="21">
        <v>30349</v>
      </c>
      <c r="G26" s="21">
        <v>31982</v>
      </c>
      <c r="H26" s="22">
        <f>H10*H32</f>
        <v>33836.956000000006</v>
      </c>
      <c r="I26" s="22">
        <f>I10*I32</f>
        <v>35799.499448000002</v>
      </c>
      <c r="J26" s="22">
        <f>J10*J32</f>
        <v>37875.870415984005</v>
      </c>
      <c r="K26" s="22">
        <f>K10*K32</f>
        <v>40072.670900111079</v>
      </c>
      <c r="L26" s="22">
        <f>L10*L32</f>
        <v>42396.885812317531</v>
      </c>
      <c r="N26" s="37"/>
      <c r="O26" s="37"/>
      <c r="P26" s="37"/>
      <c r="Q26" s="37"/>
      <c r="R26" s="37"/>
    </row>
    <row r="27" spans="2:18" s="4" customFormat="1" ht="13.5" customHeight="1" x14ac:dyDescent="0.2">
      <c r="B27" s="5"/>
      <c r="C27" s="6"/>
      <c r="D27" s="6"/>
      <c r="E27" s="6"/>
      <c r="F27" s="31"/>
      <c r="N27" s="26"/>
    </row>
    <row r="28" spans="2:18" s="4" customFormat="1" ht="13.5" customHeight="1" x14ac:dyDescent="0.2">
      <c r="B28" s="5" t="s">
        <v>22</v>
      </c>
      <c r="C28" s="35">
        <v>1977</v>
      </c>
      <c r="D28" s="35">
        <v>2702</v>
      </c>
      <c r="E28" s="35">
        <v>3170</v>
      </c>
      <c r="F28" s="35">
        <v>3023</v>
      </c>
      <c r="G28" s="35">
        <v>3237</v>
      </c>
      <c r="H28" s="38">
        <f>G28*(1+H29)</f>
        <v>3358.8561776061774</v>
      </c>
      <c r="I28" s="38">
        <f>H28*(1+I29)</f>
        <v>3485.2996051415448</v>
      </c>
      <c r="J28" s="38">
        <f>I28*(1+J29)</f>
        <v>3616.5029686555604</v>
      </c>
      <c r="K28" s="38">
        <f>J28*(1+K29)</f>
        <v>3752.6454549273431</v>
      </c>
      <c r="L28" s="38">
        <f>K28*(1+L29)</f>
        <v>3893.9129961842605</v>
      </c>
      <c r="N28" s="17"/>
    </row>
    <row r="29" spans="2:18" s="4" customFormat="1" ht="13.5" customHeight="1" x14ac:dyDescent="0.2">
      <c r="B29" s="23" t="s">
        <v>23</v>
      </c>
      <c r="C29" s="37">
        <f>C28/C10</f>
        <v>3.1005442027508115E-2</v>
      </c>
      <c r="D29" s="37">
        <f>D28/D10</f>
        <v>4.0923892464975388E-2</v>
      </c>
      <c r="E29" s="37">
        <f>E28/E10</f>
        <v>4.3679554661449002E-2</v>
      </c>
      <c r="F29" s="37">
        <f>F28/F10</f>
        <v>3.8245489739632092E-2</v>
      </c>
      <c r="G29" s="37">
        <f>G28/G10</f>
        <v>3.7644787644787646E-2</v>
      </c>
      <c r="H29" s="33">
        <f>G29</f>
        <v>3.7644787644787646E-2</v>
      </c>
      <c r="I29" s="33">
        <f>H29</f>
        <v>3.7644787644787646E-2</v>
      </c>
      <c r="J29" s="33">
        <f>I29</f>
        <v>3.7644787644787646E-2</v>
      </c>
      <c r="K29" s="33">
        <f>J29</f>
        <v>3.7644787644787646E-2</v>
      </c>
      <c r="L29" s="33">
        <f>K29</f>
        <v>3.7644787644787646E-2</v>
      </c>
    </row>
    <row r="30" spans="2:18" s="4" customFormat="1" ht="13.5" customHeight="1" x14ac:dyDescent="0.2">
      <c r="B30" s="39" t="s">
        <v>24</v>
      </c>
      <c r="C30" s="37">
        <f>C23/C10</f>
        <v>0.14958518262942458</v>
      </c>
      <c r="D30" s="37">
        <f>D23/D10</f>
        <v>0.13984096932979931</v>
      </c>
      <c r="E30" s="37">
        <f>E23/E10</f>
        <v>0.13858957753465428</v>
      </c>
      <c r="F30" s="37">
        <f>F23/F10</f>
        <v>0.12774221300068317</v>
      </c>
      <c r="G30" s="37">
        <f>G23/G10</f>
        <v>0.14928827278224868</v>
      </c>
      <c r="H30" s="33">
        <f>$G$23/$G$10</f>
        <v>0.14928827278224868</v>
      </c>
      <c r="I30" s="33">
        <f t="shared" ref="I30:L32" si="0">H30</f>
        <v>0.14928827278224868</v>
      </c>
      <c r="J30" s="33">
        <f t="shared" si="0"/>
        <v>0.14928827278224868</v>
      </c>
      <c r="K30" s="33">
        <f t="shared" si="0"/>
        <v>0.14928827278224868</v>
      </c>
      <c r="L30" s="33">
        <f t="shared" si="0"/>
        <v>0.14928827278224868</v>
      </c>
      <c r="N30" s="10"/>
      <c r="O30" s="10"/>
      <c r="P30" s="10"/>
      <c r="Q30" s="11"/>
      <c r="R30" s="12"/>
    </row>
    <row r="31" spans="2:18" s="4" customFormat="1" ht="13.5" customHeight="1" x14ac:dyDescent="0.2">
      <c r="B31" s="39" t="s">
        <v>25</v>
      </c>
      <c r="C31" s="37">
        <f>C24/C10</f>
        <v>0.1478286780734909</v>
      </c>
      <c r="D31" s="37">
        <f>D24/D10</f>
        <v>0.15816736084816357</v>
      </c>
      <c r="E31" s="37">
        <f>E24/E10</f>
        <v>0.16603742387080772</v>
      </c>
      <c r="F31" s="37">
        <f>F24/F10</f>
        <v>0.1703524708382885</v>
      </c>
      <c r="G31" s="37">
        <f>G24/G10</f>
        <v>0.16055728706331115</v>
      </c>
      <c r="H31" s="33">
        <f>$G$24/$G$10</f>
        <v>0.16055728706331115</v>
      </c>
      <c r="I31" s="33">
        <f t="shared" si="0"/>
        <v>0.16055728706331115</v>
      </c>
      <c r="J31" s="33">
        <f t="shared" si="0"/>
        <v>0.16055728706331115</v>
      </c>
      <c r="K31" s="33">
        <f t="shared" si="0"/>
        <v>0.16055728706331115</v>
      </c>
      <c r="L31" s="33">
        <f t="shared" si="0"/>
        <v>0.16055728706331115</v>
      </c>
      <c r="N31" s="37"/>
      <c r="O31" s="37"/>
      <c r="P31" s="37"/>
      <c r="Q31" s="37"/>
      <c r="R31" s="37"/>
    </row>
    <row r="32" spans="2:18" s="4" customFormat="1" ht="13.5" customHeight="1" x14ac:dyDescent="0.2">
      <c r="B32" s="39" t="s">
        <v>26</v>
      </c>
      <c r="C32" s="37">
        <f>C26/C10</f>
        <v>0.32895252732776059</v>
      </c>
      <c r="D32" s="37">
        <f>D26/D10</f>
        <v>0.34032563422945855</v>
      </c>
      <c r="E32" s="37">
        <f>E26/E10</f>
        <v>0.37094551767850747</v>
      </c>
      <c r="F32" s="37">
        <f>F26/F10</f>
        <v>0.38396042610257836</v>
      </c>
      <c r="G32" s="37">
        <f>G26/G10</f>
        <v>0.37193561892357074</v>
      </c>
      <c r="H32" s="33">
        <f>$G$26/$G$10</f>
        <v>0.37193561892357074</v>
      </c>
      <c r="I32" s="33">
        <f t="shared" si="0"/>
        <v>0.37193561892357074</v>
      </c>
      <c r="J32" s="33">
        <f t="shared" si="0"/>
        <v>0.37193561892357074</v>
      </c>
      <c r="K32" s="33">
        <f t="shared" si="0"/>
        <v>0.37193561892357074</v>
      </c>
      <c r="L32" s="33">
        <f t="shared" si="0"/>
        <v>0.37193561892357074</v>
      </c>
    </row>
    <row r="33" spans="2:18" s="4" customFormat="1" ht="13.5" customHeight="1" x14ac:dyDescent="0.2">
      <c r="B33" s="39" t="s">
        <v>27</v>
      </c>
      <c r="C33" s="37"/>
      <c r="D33" s="37">
        <f>D25/C25-1</f>
        <v>4.6971268224242912E-3</v>
      </c>
      <c r="E33" s="37">
        <f>E25/D25-1</f>
        <v>3.8372799028536742E-2</v>
      </c>
      <c r="F33" s="37">
        <f>F25/E25-1</f>
        <v>3.6837796748918183E-2</v>
      </c>
      <c r="G33" s="37">
        <f>G25/F25-1</f>
        <v>2.774644710128582E-2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</row>
    <row r="34" spans="2:18" s="4" customFormat="1" ht="13.5" customHeight="1" x14ac:dyDescent="0.2">
      <c r="B34" s="39" t="s">
        <v>28</v>
      </c>
      <c r="C34" s="37"/>
      <c r="D34" s="37"/>
      <c r="E34" s="37"/>
      <c r="F34" s="40"/>
      <c r="G34" s="41"/>
      <c r="H34" s="33">
        <v>0</v>
      </c>
      <c r="I34" s="33">
        <v>0</v>
      </c>
      <c r="J34" s="33">
        <v>0</v>
      </c>
      <c r="K34" s="33">
        <v>0</v>
      </c>
      <c r="L34" s="33">
        <v>0</v>
      </c>
    </row>
    <row r="35" spans="2:18" s="4" customFormat="1" ht="13.5" customHeight="1" x14ac:dyDescent="0.2"/>
    <row r="36" spans="2:18" s="4" customFormat="1" ht="13.5" customHeight="1" x14ac:dyDescent="0.2">
      <c r="B36" s="23"/>
      <c r="C36" s="42"/>
      <c r="D36" s="42"/>
      <c r="E36" s="42"/>
      <c r="F36" s="43"/>
      <c r="G36" s="44"/>
      <c r="H36" s="44"/>
      <c r="I36" s="44"/>
      <c r="J36" s="44"/>
      <c r="K36" s="44"/>
      <c r="L36" s="44"/>
    </row>
    <row r="37" spans="2:18" s="45" customFormat="1" ht="17.25" customHeight="1" x14ac:dyDescent="0.25">
      <c r="B37" s="13" t="s">
        <v>29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spans="2:18" s="45" customFormat="1" ht="13.5" customHeight="1" x14ac:dyDescent="0.2">
      <c r="B38" s="46" t="s">
        <v>30</v>
      </c>
      <c r="C38" s="47"/>
      <c r="D38" s="15"/>
      <c r="E38" s="15"/>
      <c r="F38" s="15"/>
      <c r="G38" s="48"/>
      <c r="H38" s="2" t="s">
        <v>5</v>
      </c>
      <c r="I38" s="2"/>
      <c r="J38" s="2"/>
      <c r="K38" s="2"/>
      <c r="L38" s="2"/>
    </row>
    <row r="39" spans="2:18" s="45" customFormat="1" ht="13.5" customHeight="1" x14ac:dyDescent="0.2">
      <c r="B39" s="49"/>
      <c r="C39" s="18">
        <f>D39-365</f>
        <v>44470</v>
      </c>
      <c r="D39" s="18">
        <f>E39-365</f>
        <v>44835</v>
      </c>
      <c r="E39" s="18">
        <f>F39-365</f>
        <v>45200</v>
      </c>
      <c r="F39" s="18">
        <f>G39-365</f>
        <v>45565</v>
      </c>
      <c r="G39" s="18">
        <v>45930</v>
      </c>
      <c r="H39" s="19">
        <f>G39+365</f>
        <v>46295</v>
      </c>
      <c r="I39" s="19">
        <f>H39+365</f>
        <v>46660</v>
      </c>
      <c r="J39" s="19">
        <f>I39+365</f>
        <v>47025</v>
      </c>
      <c r="K39" s="19">
        <f>J39+365</f>
        <v>47390</v>
      </c>
      <c r="L39" s="19">
        <f>K39+365</f>
        <v>47755</v>
      </c>
    </row>
    <row r="40" spans="2:18" s="45" customFormat="1" ht="13.5" customHeight="1" x14ac:dyDescent="0.2">
      <c r="B40" s="50" t="s">
        <v>31</v>
      </c>
      <c r="C40" s="51"/>
      <c r="D40" s="51"/>
      <c r="E40" s="51"/>
      <c r="F40" s="51"/>
      <c r="G40" s="51"/>
      <c r="H40" s="52">
        <v>1</v>
      </c>
      <c r="I40" s="52">
        <f>H40+1</f>
        <v>2</v>
      </c>
      <c r="J40" s="52">
        <f>I40+1</f>
        <v>3</v>
      </c>
      <c r="K40" s="52">
        <f>J40+1</f>
        <v>4</v>
      </c>
      <c r="L40" s="52">
        <f>K40+1</f>
        <v>5</v>
      </c>
    </row>
    <row r="41" spans="2:18" s="45" customFormat="1" ht="13.5" customHeight="1" x14ac:dyDescent="0.2">
      <c r="B41" s="45" t="s">
        <v>32</v>
      </c>
      <c r="C41" s="53"/>
      <c r="D41" s="53"/>
      <c r="E41" s="53"/>
      <c r="F41" s="53"/>
      <c r="G41" s="54"/>
      <c r="H41" s="54"/>
      <c r="I41" s="54"/>
      <c r="J41" s="54"/>
      <c r="K41" s="54"/>
      <c r="L41" s="54"/>
    </row>
    <row r="42" spans="2:18" s="45" customFormat="1" ht="13.5" customHeight="1" x14ac:dyDescent="0.2">
      <c r="B42" s="45" t="s">
        <v>11</v>
      </c>
      <c r="C42" s="55"/>
      <c r="D42" s="55"/>
      <c r="E42" s="55"/>
      <c r="F42" s="55"/>
      <c r="G42" s="55"/>
      <c r="H42" s="29">
        <f>H14</f>
        <v>10352.989595200001</v>
      </c>
      <c r="I42" s="29">
        <f>I14</f>
        <v>10953.462991721601</v>
      </c>
      <c r="J42" s="29">
        <f>J14</f>
        <v>11588.763845241454</v>
      </c>
      <c r="K42" s="29">
        <f>K14</f>
        <v>12260.912148265459</v>
      </c>
      <c r="L42" s="29">
        <f>L14</f>
        <v>12972.045052864858</v>
      </c>
      <c r="N42" s="22"/>
      <c r="O42" s="22"/>
      <c r="P42" s="22"/>
      <c r="Q42" s="22"/>
      <c r="R42" s="22"/>
    </row>
    <row r="43" spans="2:18" s="45" customFormat="1" ht="13.5" customHeight="1" x14ac:dyDescent="0.2">
      <c r="B43" s="45" t="s">
        <v>33</v>
      </c>
      <c r="C43" s="56"/>
      <c r="D43" s="56"/>
      <c r="E43" s="56"/>
      <c r="F43" s="56"/>
      <c r="G43" s="56"/>
      <c r="H43" s="57">
        <v>0.21</v>
      </c>
      <c r="I43" s="57">
        <v>0.21</v>
      </c>
      <c r="J43" s="57">
        <v>0.21</v>
      </c>
      <c r="K43" s="57">
        <v>0.21</v>
      </c>
      <c r="L43" s="57">
        <v>0.21</v>
      </c>
      <c r="N43" s="29"/>
      <c r="O43" s="29"/>
      <c r="P43" s="29"/>
      <c r="Q43" s="29"/>
      <c r="R43" s="29"/>
    </row>
    <row r="44" spans="2:18" s="45" customFormat="1" ht="13.5" customHeight="1" x14ac:dyDescent="0.2">
      <c r="B44" s="49" t="s">
        <v>34</v>
      </c>
      <c r="C44" s="58"/>
      <c r="D44" s="58"/>
      <c r="E44" s="58"/>
      <c r="F44" s="58"/>
      <c r="G44" s="58"/>
      <c r="H44" s="59">
        <f>H42*(1-H43)</f>
        <v>8178.8617802080007</v>
      </c>
      <c r="I44" s="59">
        <f>I42*(1-I43)</f>
        <v>8653.2357634600648</v>
      </c>
      <c r="J44" s="59">
        <f>J42*(1-J43)</f>
        <v>9155.1234377407491</v>
      </c>
      <c r="K44" s="59">
        <f>K42*(1-K43)</f>
        <v>9686.1205971297131</v>
      </c>
      <c r="L44" s="59">
        <f>L42*(1-L43)</f>
        <v>10247.915591763238</v>
      </c>
    </row>
    <row r="45" spans="2:18" s="45" customFormat="1" ht="13.5" customHeight="1" x14ac:dyDescent="0.2">
      <c r="B45" s="60" t="s">
        <v>35</v>
      </c>
      <c r="C45" s="61"/>
      <c r="D45" s="61"/>
      <c r="E45" s="61"/>
      <c r="F45" s="61"/>
      <c r="G45" s="61"/>
      <c r="H45" s="62">
        <v>4410.7639058380501</v>
      </c>
      <c r="I45" s="62">
        <v>4464.1666436539099</v>
      </c>
      <c r="J45" s="62">
        <v>4518.2159480208502</v>
      </c>
      <c r="K45" s="62">
        <v>4572.9196471574596</v>
      </c>
      <c r="L45" s="62">
        <v>4628.28566406145</v>
      </c>
    </row>
    <row r="46" spans="2:18" s="45" customFormat="1" ht="13.5" customHeight="1" x14ac:dyDescent="0.2">
      <c r="B46" s="34" t="s">
        <v>36</v>
      </c>
      <c r="C46" s="61"/>
      <c r="D46" s="61"/>
      <c r="E46" s="61"/>
      <c r="F46" s="61"/>
      <c r="G46" s="61"/>
      <c r="H46" s="61">
        <f t="shared" ref="H46:L47" si="1">-(H23-G23)</f>
        <v>-744.54600000000028</v>
      </c>
      <c r="I46" s="61">
        <f t="shared" si="1"/>
        <v>-787.72966799999995</v>
      </c>
      <c r="J46" s="61">
        <f t="shared" si="1"/>
        <v>-833.41798874400229</v>
      </c>
      <c r="K46" s="61">
        <f t="shared" si="1"/>
        <v>-881.75623209115292</v>
      </c>
      <c r="L46" s="61">
        <f t="shared" si="1"/>
        <v>-932.89809355244142</v>
      </c>
    </row>
    <row r="47" spans="2:18" s="45" customFormat="1" ht="13.5" customHeight="1" x14ac:dyDescent="0.2">
      <c r="B47" s="34" t="s">
        <v>37</v>
      </c>
      <c r="C47" s="61"/>
      <c r="D47" s="61"/>
      <c r="E47" s="61"/>
      <c r="F47" s="61"/>
      <c r="G47" s="61"/>
      <c r="H47" s="61">
        <f t="shared" si="1"/>
        <v>-800.74799999999959</v>
      </c>
      <c r="I47" s="61">
        <f t="shared" si="1"/>
        <v>-847.19138400000156</v>
      </c>
      <c r="J47" s="61">
        <f t="shared" si="1"/>
        <v>-896.32848427200042</v>
      </c>
      <c r="K47" s="61">
        <f t="shared" si="1"/>
        <v>-948.31553635977798</v>
      </c>
      <c r="L47" s="61">
        <f t="shared" si="1"/>
        <v>-1003.3178374686431</v>
      </c>
    </row>
    <row r="48" spans="2:18" s="45" customFormat="1" ht="13.5" customHeight="1" x14ac:dyDescent="0.2">
      <c r="B48" s="34" t="s">
        <v>38</v>
      </c>
      <c r="C48" s="61"/>
      <c r="D48" s="61"/>
      <c r="E48" s="61"/>
      <c r="F48" s="61"/>
      <c r="G48" s="61"/>
      <c r="H48" s="61">
        <f>(H26-G26)</f>
        <v>1854.9560000000056</v>
      </c>
      <c r="I48" s="61">
        <f>(I26-H26)</f>
        <v>1962.5434479999967</v>
      </c>
      <c r="J48" s="61">
        <f>(J26-I26)</f>
        <v>2076.3709679840031</v>
      </c>
      <c r="K48" s="61">
        <f>(K26-J26)</f>
        <v>2196.800484127074</v>
      </c>
      <c r="L48" s="61">
        <f>(L26-K26)</f>
        <v>2324.2149122064511</v>
      </c>
    </row>
    <row r="49" spans="2:14" s="45" customFormat="1" ht="13.5" customHeight="1" x14ac:dyDescent="0.2">
      <c r="B49" s="34"/>
      <c r="C49" s="61"/>
      <c r="D49" s="61"/>
      <c r="E49" s="61"/>
      <c r="F49" s="61"/>
      <c r="G49" s="61"/>
      <c r="H49" s="63">
        <v>7.1340217482864704E-2</v>
      </c>
      <c r="I49" s="63">
        <v>7.1340217482864704E-2</v>
      </c>
      <c r="J49" s="63">
        <v>7.1340217482864704E-2</v>
      </c>
      <c r="K49" s="63">
        <v>7.1340217482864704E-2</v>
      </c>
      <c r="L49" s="63">
        <v>7.1340217482864704E-2</v>
      </c>
    </row>
    <row r="50" spans="2:14" s="45" customFormat="1" ht="13.5" customHeight="1" x14ac:dyDescent="0.2">
      <c r="B50" s="60" t="s">
        <v>39</v>
      </c>
      <c r="C50" s="61"/>
      <c r="D50" s="61"/>
      <c r="E50" s="61"/>
      <c r="F50" s="61"/>
      <c r="G50" s="61"/>
      <c r="H50" s="61">
        <f>-H28</f>
        <v>-3358.8561776061774</v>
      </c>
      <c r="I50" s="61">
        <f>-I28</f>
        <v>-3485.2996051415448</v>
      </c>
      <c r="J50" s="61">
        <f>-J28</f>
        <v>-3616.5029686555604</v>
      </c>
      <c r="K50" s="61">
        <f>-K28</f>
        <v>-3752.6454549273431</v>
      </c>
      <c r="L50" s="61">
        <f>-L28</f>
        <v>-3893.9129961842605</v>
      </c>
      <c r="N50" s="45" t="s">
        <v>40</v>
      </c>
    </row>
    <row r="51" spans="2:14" s="45" customFormat="1" ht="13.5" customHeight="1" x14ac:dyDescent="0.2">
      <c r="B51" s="49" t="s">
        <v>41</v>
      </c>
      <c r="C51" s="58"/>
      <c r="D51" s="58"/>
      <c r="E51" s="58"/>
      <c r="F51" s="58"/>
      <c r="G51" s="58"/>
      <c r="H51" s="59">
        <f>SUM(H44:H50)</f>
        <v>9540.502848657361</v>
      </c>
      <c r="I51" s="59">
        <f>SUM(I44:I50)</f>
        <v>9959.7965381899085</v>
      </c>
      <c r="J51" s="59">
        <f>SUM(J44:J50)</f>
        <v>10403.532252291521</v>
      </c>
      <c r="K51" s="59">
        <f>SUM(K44:K50)</f>
        <v>10873.194845253456</v>
      </c>
      <c r="L51" s="59">
        <f>SUM(L44:L50)</f>
        <v>11370.358581043276</v>
      </c>
      <c r="N51" s="45">
        <f>L51/K51-1</f>
        <v>4.5723795339402962E-2</v>
      </c>
    </row>
    <row r="52" spans="2:14" s="45" customFormat="1" ht="14.25" customHeight="1" x14ac:dyDescent="0.2">
      <c r="B52" s="64" t="s">
        <v>42</v>
      </c>
      <c r="C52" s="65"/>
      <c r="D52" s="65"/>
      <c r="E52" s="65"/>
      <c r="F52" s="66"/>
      <c r="G52" s="66"/>
      <c r="H52" s="67">
        <f>$C$86</f>
        <v>7.6671902980947795E-2</v>
      </c>
      <c r="I52" s="67">
        <f>$C$86</f>
        <v>7.6671902980947795E-2</v>
      </c>
      <c r="J52" s="67">
        <f>$C$86</f>
        <v>7.6671902980947795E-2</v>
      </c>
      <c r="K52" s="67">
        <f>$C$86</f>
        <v>7.6671902980947795E-2</v>
      </c>
      <c r="L52" s="67">
        <f>$C$86</f>
        <v>7.6671902980947795E-2</v>
      </c>
    </row>
    <row r="53" spans="2:14" s="45" customFormat="1" ht="13.5" customHeight="1" x14ac:dyDescent="0.2">
      <c r="B53" s="64" t="s">
        <v>43</v>
      </c>
      <c r="C53" s="68"/>
      <c r="D53" s="68"/>
      <c r="E53" s="68"/>
      <c r="F53" s="68"/>
      <c r="G53" s="68"/>
      <c r="H53" s="68">
        <f>H51/(1+H52)^H40</f>
        <v>8861.1050611080955</v>
      </c>
      <c r="I53" s="68">
        <f>I51/(1+I52)^I40</f>
        <v>8591.7910598780527</v>
      </c>
      <c r="J53" s="68">
        <f>J51/(1+J52)^J40</f>
        <v>8335.4812427040524</v>
      </c>
      <c r="K53" s="68">
        <f>K51/(1+K52)^K40</f>
        <v>8091.3996333579817</v>
      </c>
      <c r="L53" s="68">
        <f>L51/(1+L52)^L40</f>
        <v>7858.8185600239349</v>
      </c>
    </row>
    <row r="54" spans="2:14" s="45" customFormat="1" ht="13.5" customHeight="1" x14ac:dyDescent="0.2">
      <c r="B54" s="49" t="s">
        <v>44</v>
      </c>
      <c r="C54" s="59">
        <f>SUM(H53:L53)</f>
        <v>41738.59555707212</v>
      </c>
      <c r="D54" s="58"/>
      <c r="E54" s="58"/>
    </row>
    <row r="55" spans="2:14" s="45" customFormat="1" ht="13.5" customHeight="1" x14ac:dyDescent="0.2"/>
    <row r="56" spans="2:14" s="45" customFormat="1" ht="17.25" customHeight="1" x14ac:dyDescent="0.25">
      <c r="B56" s="13" t="s">
        <v>45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2:14" s="45" customFormat="1" ht="13.5" customHeight="1" x14ac:dyDescent="0.2">
      <c r="B57" s="69" t="s">
        <v>46</v>
      </c>
      <c r="C57" s="70"/>
      <c r="D57" s="70"/>
      <c r="E57" s="70"/>
      <c r="H57" s="71"/>
      <c r="I57" s="70"/>
    </row>
    <row r="58" spans="2:14" s="45" customFormat="1" ht="13.5" customHeight="1" x14ac:dyDescent="0.2">
      <c r="B58" s="45" t="s">
        <v>47</v>
      </c>
      <c r="C58" s="72">
        <v>3.5000000000000003E-2</v>
      </c>
      <c r="D58" s="73"/>
      <c r="E58" s="73"/>
      <c r="H58" s="64"/>
      <c r="I58" s="74"/>
    </row>
    <row r="59" spans="2:14" s="45" customFormat="1" ht="13.5" customHeight="1" x14ac:dyDescent="0.2">
      <c r="B59" s="45" t="s">
        <v>48</v>
      </c>
      <c r="C59" s="75">
        <f>C86</f>
        <v>7.6671902980947795E-2</v>
      </c>
      <c r="D59" s="75"/>
      <c r="E59" s="75"/>
      <c r="H59" s="64"/>
      <c r="I59" s="74"/>
    </row>
    <row r="60" spans="2:14" s="45" customFormat="1" ht="13.5" customHeight="1" x14ac:dyDescent="0.2">
      <c r="B60" s="45" t="s">
        <v>49</v>
      </c>
      <c r="C60" s="76">
        <f>L51*(1+C58)</f>
        <v>11768.321131379789</v>
      </c>
      <c r="D60" s="76"/>
      <c r="E60" s="76"/>
      <c r="H60" s="64"/>
      <c r="I60" s="76"/>
    </row>
    <row r="61" spans="2:14" s="45" customFormat="1" ht="13.5" customHeight="1" x14ac:dyDescent="0.2">
      <c r="B61" s="45" t="s">
        <v>45</v>
      </c>
      <c r="C61" s="76">
        <f>C60/(C59-C58)</f>
        <v>282404.21697948885</v>
      </c>
      <c r="D61" s="76"/>
      <c r="E61" s="76"/>
      <c r="H61" s="64"/>
      <c r="I61" s="76"/>
    </row>
    <row r="62" spans="2:14" s="45" customFormat="1" ht="13.5" customHeight="1" x14ac:dyDescent="0.2">
      <c r="B62" s="49" t="s">
        <v>50</v>
      </c>
      <c r="C62" s="77">
        <f>C61/(1+L52)^L40</f>
        <v>195188.52338813382</v>
      </c>
      <c r="D62" s="78"/>
      <c r="E62" s="78"/>
      <c r="H62" s="64"/>
      <c r="I62" s="79"/>
    </row>
    <row r="63" spans="2:14" s="45" customFormat="1" ht="13.5" customHeight="1" x14ac:dyDescent="0.2">
      <c r="B63" s="49" t="s">
        <v>51</v>
      </c>
      <c r="C63" s="78">
        <f>L51*(N51-C59)*(C65/2)/(C59-C58)</f>
        <v>-42221.623698103409</v>
      </c>
      <c r="D63" s="78"/>
      <c r="E63" s="78"/>
      <c r="H63" s="64"/>
      <c r="I63" s="79"/>
    </row>
    <row r="64" spans="2:14" s="45" customFormat="1" ht="13.5" customHeight="1" x14ac:dyDescent="0.2">
      <c r="B64" s="49" t="s">
        <v>52</v>
      </c>
      <c r="C64" s="78">
        <f>C63/(1+C59)^5</f>
        <v>-29182.200155604627</v>
      </c>
      <c r="D64" s="78"/>
      <c r="E64" s="78"/>
      <c r="H64" s="64"/>
      <c r="I64" s="79"/>
    </row>
    <row r="65" spans="2:14" s="45" customFormat="1" ht="13.5" customHeight="1" x14ac:dyDescent="0.2">
      <c r="B65" s="49" t="s">
        <v>53</v>
      </c>
      <c r="C65" s="78">
        <v>10</v>
      </c>
      <c r="D65" s="78"/>
      <c r="E65" s="78"/>
      <c r="H65" s="64"/>
      <c r="I65" s="79"/>
    </row>
    <row r="66" spans="2:14" s="45" customFormat="1" ht="13.5" customHeight="1" x14ac:dyDescent="0.2">
      <c r="C66" s="80"/>
      <c r="D66" s="80"/>
      <c r="E66" s="80"/>
    </row>
    <row r="67" spans="2:14" s="45" customFormat="1" ht="17.25" customHeight="1" x14ac:dyDescent="0.25">
      <c r="B67" s="13" t="s">
        <v>48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</row>
    <row r="68" spans="2:14" s="45" customFormat="1" ht="13.5" customHeight="1" x14ac:dyDescent="0.2">
      <c r="B68" s="45" t="s">
        <v>54</v>
      </c>
      <c r="C68" s="45">
        <v>175.63</v>
      </c>
      <c r="F68" s="81"/>
    </row>
    <row r="69" spans="2:14" s="45" customFormat="1" ht="13.5" customHeight="1" x14ac:dyDescent="0.2">
      <c r="B69" s="45" t="s">
        <v>3</v>
      </c>
      <c r="C69" s="132">
        <v>1340</v>
      </c>
      <c r="F69" s="61"/>
    </row>
    <row r="70" spans="2:14" s="45" customFormat="1" ht="13.5" customHeight="1" x14ac:dyDescent="0.2">
      <c r="B70" s="45" t="s">
        <v>55</v>
      </c>
      <c r="C70" s="132">
        <v>4.4999999999999998E-2</v>
      </c>
      <c r="F70" s="74"/>
    </row>
    <row r="71" spans="2:14" s="45" customFormat="1" ht="13.5" customHeight="1" x14ac:dyDescent="0.2">
      <c r="B71" s="45" t="s">
        <v>56</v>
      </c>
      <c r="C71" s="133">
        <f>H43</f>
        <v>0.21</v>
      </c>
      <c r="F71" s="74"/>
    </row>
    <row r="72" spans="2:14" s="45" customFormat="1" ht="13.5" customHeight="1" x14ac:dyDescent="0.2">
      <c r="B72" s="45" t="s">
        <v>57</v>
      </c>
      <c r="C72" s="132">
        <f>C70*(1-C71)</f>
        <v>3.5549999999999998E-2</v>
      </c>
      <c r="F72" s="83"/>
    </row>
    <row r="73" spans="2:14" s="45" customFormat="1" ht="13.5" customHeight="1" x14ac:dyDescent="0.2">
      <c r="B73" s="45" t="s">
        <v>58</v>
      </c>
      <c r="C73" s="132">
        <f>C74+C77*C75</f>
        <v>8.2526000000000002E-2</v>
      </c>
      <c r="F73" s="74"/>
    </row>
    <row r="74" spans="2:14" s="45" customFormat="1" ht="13.5" customHeight="1" x14ac:dyDescent="0.2">
      <c r="B74" s="45" t="s">
        <v>59</v>
      </c>
      <c r="C74" s="132">
        <v>4.1000000000000002E-2</v>
      </c>
      <c r="F74" s="74"/>
    </row>
    <row r="75" spans="2:14" s="45" customFormat="1" ht="13.5" customHeight="1" x14ac:dyDescent="0.2">
      <c r="B75" s="45" t="s">
        <v>60</v>
      </c>
      <c r="C75" s="132">
        <v>5.3999999999999999E-2</v>
      </c>
      <c r="F75" s="74"/>
    </row>
    <row r="76" spans="2:14" s="45" customFormat="1" ht="13.5" customHeight="1" x14ac:dyDescent="0.2">
      <c r="B76" s="45" t="s">
        <v>61</v>
      </c>
      <c r="C76" s="132">
        <v>0.43</v>
      </c>
      <c r="F76" s="74"/>
    </row>
    <row r="77" spans="2:14" s="45" customFormat="1" ht="13.5" customHeight="1" x14ac:dyDescent="0.2">
      <c r="B77" s="45" t="s">
        <v>62</v>
      </c>
      <c r="C77" s="134">
        <v>0.76900000000000002</v>
      </c>
      <c r="D77" s="80"/>
      <c r="E77" s="80"/>
    </row>
    <row r="78" spans="2:14" s="45" customFormat="1" ht="13.5" customHeight="1" x14ac:dyDescent="0.2">
      <c r="C78" s="134"/>
      <c r="D78" s="80"/>
      <c r="E78" s="80"/>
    </row>
    <row r="79" spans="2:14" s="45" customFormat="1" ht="13.5" customHeight="1" x14ac:dyDescent="0.2">
      <c r="B79" s="45" t="s">
        <v>63</v>
      </c>
      <c r="C79" s="132">
        <v>43500</v>
      </c>
      <c r="F79" s="68"/>
    </row>
    <row r="80" spans="2:14" s="45" customFormat="1" ht="13.5" customHeight="1" x14ac:dyDescent="0.2">
      <c r="B80" s="45" t="s">
        <v>64</v>
      </c>
      <c r="C80" s="45">
        <f>C68*C69</f>
        <v>235344.19999999998</v>
      </c>
      <c r="F80" s="84"/>
      <c r="J80" s="85"/>
      <c r="K80" s="86"/>
      <c r="L80" s="86"/>
      <c r="M80" s="86"/>
      <c r="N80" s="86"/>
    </row>
    <row r="81" spans="2:14" s="45" customFormat="1" ht="13.5" customHeight="1" x14ac:dyDescent="0.2">
      <c r="B81" s="71" t="s">
        <v>65</v>
      </c>
      <c r="C81" s="45">
        <f>C79+C80</f>
        <v>278844.19999999995</v>
      </c>
      <c r="F81" s="59"/>
      <c r="J81" s="87"/>
    </row>
    <row r="82" spans="2:14" s="45" customFormat="1" ht="13.5" customHeight="1" x14ac:dyDescent="0.2">
      <c r="B82" s="71"/>
      <c r="F82" s="84"/>
      <c r="J82" s="87"/>
    </row>
    <row r="83" spans="2:14" s="45" customFormat="1" ht="13.5" customHeight="1" x14ac:dyDescent="0.2">
      <c r="B83" s="45" t="s">
        <v>66</v>
      </c>
      <c r="C83" s="88">
        <f>C79/C81</f>
        <v>0.15600109308352123</v>
      </c>
      <c r="F83" s="82"/>
      <c r="J83" s="87"/>
    </row>
    <row r="84" spans="2:14" s="45" customFormat="1" ht="13.5" customHeight="1" x14ac:dyDescent="0.2">
      <c r="B84" s="45" t="s">
        <v>67</v>
      </c>
      <c r="C84" s="88">
        <f>C80/C81</f>
        <v>0.84399890691647894</v>
      </c>
      <c r="F84" s="82"/>
    </row>
    <row r="85" spans="2:14" s="45" customFormat="1" ht="13.5" customHeight="1" x14ac:dyDescent="0.2">
      <c r="B85" s="71"/>
      <c r="F85" s="84"/>
    </row>
    <row r="86" spans="2:14" s="45" customFormat="1" ht="13.5" customHeight="1" x14ac:dyDescent="0.2">
      <c r="B86" s="49" t="s">
        <v>68</v>
      </c>
      <c r="C86" s="67">
        <f>C84*C73+C83*C70</f>
        <v>7.6671902980947795E-2</v>
      </c>
      <c r="D86" s="49"/>
      <c r="E86" s="49"/>
      <c r="F86" s="89"/>
    </row>
    <row r="87" spans="2:14" s="45" customFormat="1" ht="13.5" customHeight="1" x14ac:dyDescent="0.2">
      <c r="C87" s="80"/>
      <c r="D87" s="80"/>
      <c r="E87" s="80"/>
    </row>
    <row r="88" spans="2:14" s="45" customFormat="1" ht="17.25" customHeight="1" x14ac:dyDescent="0.25">
      <c r="B88" s="13" t="s">
        <v>69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</row>
    <row r="89" spans="2:14" s="45" customFormat="1" ht="13.5" customHeight="1" x14ac:dyDescent="0.2">
      <c r="B89" s="45" t="s">
        <v>70</v>
      </c>
      <c r="C89" s="79"/>
      <c r="D89" s="79"/>
      <c r="E89" s="79"/>
      <c r="F89" s="68">
        <f>C62+SUM(H53:L53)</f>
        <v>236927.11894520593</v>
      </c>
    </row>
    <row r="90" spans="2:14" s="45" customFormat="1" ht="13.5" customHeight="1" x14ac:dyDescent="0.2">
      <c r="B90" s="45" t="s">
        <v>71</v>
      </c>
      <c r="C90" s="90"/>
      <c r="D90" s="90"/>
      <c r="E90" s="90"/>
      <c r="F90" s="55">
        <f>C79</f>
        <v>43500</v>
      </c>
    </row>
    <row r="91" spans="2:14" s="45" customFormat="1" ht="13.5" customHeight="1" x14ac:dyDescent="0.2">
      <c r="B91" s="45" t="s">
        <v>72</v>
      </c>
      <c r="F91" s="132">
        <v>9431</v>
      </c>
      <c r="G91" s="64"/>
      <c r="H91" s="79"/>
    </row>
    <row r="92" spans="2:14" s="45" customFormat="1" ht="13.5" customHeight="1" x14ac:dyDescent="0.2">
      <c r="B92" s="49" t="s">
        <v>73</v>
      </c>
      <c r="F92" s="135">
        <f>F89-F90+F91</f>
        <v>202858.11894520593</v>
      </c>
      <c r="G92" s="64"/>
      <c r="H92" s="90"/>
    </row>
    <row r="93" spans="2:14" s="45" customFormat="1" ht="13.5" customHeight="1" x14ac:dyDescent="0.2">
      <c r="B93" s="45" t="s">
        <v>3</v>
      </c>
      <c r="F93" s="136">
        <f>C69</f>
        <v>1340</v>
      </c>
      <c r="G93" s="71"/>
      <c r="H93" s="78"/>
    </row>
    <row r="94" spans="2:14" s="45" customFormat="1" ht="13.5" customHeight="1" x14ac:dyDescent="0.2">
      <c r="B94" s="91" t="s">
        <v>74</v>
      </c>
      <c r="C94" s="51"/>
      <c r="D94" s="51"/>
      <c r="E94" s="51"/>
      <c r="F94" s="92">
        <f>F92/F93</f>
        <v>151.38665592925815</v>
      </c>
      <c r="G94" s="93"/>
      <c r="H94" s="94"/>
    </row>
    <row r="95" spans="2:14" s="45" customFormat="1" ht="13.5" customHeight="1" x14ac:dyDescent="0.2">
      <c r="F95" s="86"/>
      <c r="G95" s="71"/>
      <c r="H95" s="95"/>
    </row>
    <row r="96" spans="2:14" s="80" customFormat="1" ht="13.5" customHeight="1" x14ac:dyDescent="0.2">
      <c r="B96" s="45"/>
      <c r="J96" s="96"/>
      <c r="K96" s="96"/>
      <c r="L96" s="96"/>
      <c r="M96" s="96"/>
      <c r="N96" s="96"/>
    </row>
    <row r="97" spans="2:12" ht="12.75" customHeight="1" x14ac:dyDescent="0.15">
      <c r="I97" s="97"/>
    </row>
    <row r="98" spans="2:12" ht="12.75" customHeight="1" x14ac:dyDescent="0.2">
      <c r="B98" s="98" t="s">
        <v>75</v>
      </c>
      <c r="I98" s="97"/>
    </row>
    <row r="99" spans="2:12" ht="12.75" customHeight="1" x14ac:dyDescent="0.15">
      <c r="B99" s="99" t="s">
        <v>76</v>
      </c>
      <c r="H99" s="100"/>
      <c r="I99" s="97"/>
      <c r="J99" s="101"/>
      <c r="L99" s="102"/>
    </row>
    <row r="100" spans="2:12" ht="12.75" customHeight="1" x14ac:dyDescent="0.15">
      <c r="C100" s="103" t="s">
        <v>77</v>
      </c>
      <c r="D100" s="104">
        <v>3.7999999999999999E-2</v>
      </c>
      <c r="E100" s="104">
        <v>4.8000000000000001E-2</v>
      </c>
      <c r="F100" s="104">
        <v>5.8000000000000003E-2</v>
      </c>
      <c r="G100" s="104">
        <v>6.8000000000000005E-2</v>
      </c>
      <c r="H100" s="104">
        <v>7.8E-2</v>
      </c>
      <c r="I100" s="97"/>
    </row>
    <row r="101" spans="2:12" ht="12.75" customHeight="1" x14ac:dyDescent="0.15">
      <c r="C101" s="104">
        <v>9.3799999999999994E-2</v>
      </c>
      <c r="D101" s="105">
        <f t="shared" ref="D101:H105" si="2">((((($G$10*(1+D$100)^1)*$C101*(1-$H$43)+$H$45-$H$28-(($G$23+$G$24-$G$26)/$G$10)*(($G$10*(1+D$100)^1)-($G$10*(1+D$100)^0)))/(1+$C$86)^1+(($G$10*(1+D$100)^2)*$C101*(1-$H$43)+$I$45-$I$28-(($G$23+$G$24-$G$26)/$G$10)*(($G$10*(1+D$100)^2)-($G$10*(1+D$100)^1)))/(1+$C$86)^2+(($G$10*(1+D$100)^3)*$C101*(1-$H$43)+$J$45-$J$28-(($G$23+$G$24-$G$26)/$G$10)*(($G$10*(1+D$100)^3)-($G$10*(1+D$100)^2)))/(1+$C$86)^3+(($G$10*(1+D$100)^4)*$C101*(1-$H$43)+$K$45-$K$28-(($G$23+$G$24-$G$26)/$G$10)*(($G$10*(1+D$100)^4)-($G$10*(1+D$100)^3)))/(1+$C$86)^4+(($G$10*(1+D$100)^5)*$C101*(1-$H$43)+$L$45-$L$28-(($G$23+$G$24-$G$26)/$G$10)*(($G$10*(1+D$100)^5)-($G$10*(1+D$100)^4)))/(1+$C$86)^5)+((($G$10*(1+D$100)^5)*$C101*(1-$H$43)+$L$28*0+$L$45-$L$28-(($G$23+$G$24-$G$26)/$G$10)*(($G$10*(1+D$100)^5)-($G$10*(1+D$100)^4)))*(1+$C$58)/($C$86-$C$58))/(1+$C$86)^5)-$F$90+$F$91)/$F$93</f>
        <v>110.08337146752241</v>
      </c>
      <c r="E101" s="106">
        <f t="shared" si="2"/>
        <v>116.65349167462098</v>
      </c>
      <c r="F101" s="107">
        <f t="shared" si="2"/>
        <v>123.50110317021465</v>
      </c>
      <c r="G101" s="108">
        <f t="shared" si="2"/>
        <v>130.63497948860032</v>
      </c>
      <c r="H101" s="109">
        <f t="shared" si="2"/>
        <v>138.0640767900471</v>
      </c>
      <c r="I101" s="97"/>
    </row>
    <row r="102" spans="2:12" ht="13.5" customHeight="1" x14ac:dyDescent="0.15">
      <c r="C102" s="104">
        <v>0.1038</v>
      </c>
      <c r="D102" s="110">
        <f t="shared" si="2"/>
        <v>122.84411354651162</v>
      </c>
      <c r="E102" s="111">
        <f t="shared" si="2"/>
        <v>129.99412831604045</v>
      </c>
      <c r="F102" s="112">
        <f t="shared" si="2"/>
        <v>137.4433153653595</v>
      </c>
      <c r="G102" s="113">
        <f t="shared" si="2"/>
        <v>145.20106248325126</v>
      </c>
      <c r="H102" s="114">
        <f t="shared" si="2"/>
        <v>153.27695166845388</v>
      </c>
    </row>
    <row r="103" spans="2:12" ht="13.5" customHeight="1" x14ac:dyDescent="0.15">
      <c r="C103" s="104">
        <v>0.1138</v>
      </c>
      <c r="D103" s="115">
        <f t="shared" si="2"/>
        <v>135.60485562550082</v>
      </c>
      <c r="E103" s="116">
        <f t="shared" si="2"/>
        <v>143.33476495745978</v>
      </c>
      <c r="F103" s="117">
        <f t="shared" si="2"/>
        <v>151.38552756050433</v>
      </c>
      <c r="G103" s="118">
        <f t="shared" si="2"/>
        <v>159.76714547790215</v>
      </c>
      <c r="H103" s="119">
        <f t="shared" si="2"/>
        <v>168.48982654686066</v>
      </c>
    </row>
    <row r="104" spans="2:12" ht="13.5" customHeight="1" x14ac:dyDescent="0.15">
      <c r="C104" s="104">
        <v>0.12379999999999999</v>
      </c>
      <c r="D104" s="120">
        <f t="shared" si="2"/>
        <v>148.36559770448997</v>
      </c>
      <c r="E104" s="121">
        <f t="shared" si="2"/>
        <v>156.67540159887915</v>
      </c>
      <c r="F104" s="122">
        <f t="shared" si="2"/>
        <v>165.32773975564913</v>
      </c>
      <c r="G104" s="123">
        <f t="shared" si="2"/>
        <v>174.333228472553</v>
      </c>
      <c r="H104" s="124">
        <f t="shared" si="2"/>
        <v>183.70270142526741</v>
      </c>
    </row>
    <row r="105" spans="2:12" ht="13.5" customHeight="1" x14ac:dyDescent="0.15">
      <c r="C105" s="104">
        <v>0.1338</v>
      </c>
      <c r="D105" s="125">
        <f t="shared" si="2"/>
        <v>161.12633978347918</v>
      </c>
      <c r="E105" s="126">
        <f t="shared" si="2"/>
        <v>170.01603824029857</v>
      </c>
      <c r="F105" s="127">
        <f t="shared" si="2"/>
        <v>179.26995195079397</v>
      </c>
      <c r="G105" s="128">
        <f t="shared" si="2"/>
        <v>188.899311467204</v>
      </c>
      <c r="H105" s="129">
        <f t="shared" si="2"/>
        <v>198.91557630367421</v>
      </c>
    </row>
  </sheetData>
  <mergeCells count="3">
    <mergeCell ref="H8:L8"/>
    <mergeCell ref="H21:L21"/>
    <mergeCell ref="H38:L38"/>
  </mergeCells>
  <pageMargins left="0.7" right="0.7" top="0.75" bottom="0.75" header="0.511811023622047" footer="0.511811023622047"/>
  <pageSetup orientation="portrait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"/>
  <sheetViews>
    <sheetView zoomScaleNormal="100" workbookViewId="0">
      <selection activeCell="K16" sqref="K16"/>
    </sheetView>
  </sheetViews>
  <sheetFormatPr baseColWidth="10" defaultColWidth="8.83203125" defaultRowHeight="13" x14ac:dyDescent="0.15"/>
  <cols>
    <col min="1" max="2" width="11.5" customWidth="1"/>
    <col min="3" max="3" width="14" customWidth="1"/>
    <col min="4" max="256" width="11.5" customWidth="1"/>
  </cols>
  <sheetData>
    <row r="1" spans="1:9" ht="12.75" customHeight="1" x14ac:dyDescent="0.15">
      <c r="A1" t="s">
        <v>78</v>
      </c>
    </row>
    <row r="3" spans="1:9" ht="12.75" customHeight="1" x14ac:dyDescent="0.15">
      <c r="A3" s="1" t="s">
        <v>79</v>
      </c>
      <c r="B3" s="1"/>
    </row>
    <row r="4" spans="1:9" ht="12.75" customHeight="1" x14ac:dyDescent="0.15">
      <c r="A4" t="s">
        <v>80</v>
      </c>
      <c r="B4">
        <v>0.99161827301290395</v>
      </c>
    </row>
    <row r="5" spans="1:9" ht="12.75" customHeight="1" x14ac:dyDescent="0.15">
      <c r="A5" t="s">
        <v>81</v>
      </c>
      <c r="B5">
        <v>0.98330679937309295</v>
      </c>
    </row>
    <row r="6" spans="1:9" ht="12.75" customHeight="1" x14ac:dyDescent="0.15">
      <c r="A6" t="s">
        <v>82</v>
      </c>
      <c r="B6">
        <v>-1.6666666666666701</v>
      </c>
    </row>
    <row r="7" spans="1:9" ht="12.75" customHeight="1" x14ac:dyDescent="0.15">
      <c r="A7" t="s">
        <v>83</v>
      </c>
      <c r="B7">
        <v>1.8507713067067898E-2</v>
      </c>
    </row>
    <row r="8" spans="1:9" ht="12.75" customHeight="1" x14ac:dyDescent="0.15">
      <c r="A8" s="131" t="s">
        <v>84</v>
      </c>
      <c r="B8" s="131">
        <v>1</v>
      </c>
    </row>
    <row r="10" spans="1:9" ht="12.75" customHeight="1" x14ac:dyDescent="0.15">
      <c r="A10" t="s">
        <v>85</v>
      </c>
    </row>
    <row r="11" spans="1:9" ht="12.75" customHeight="1" x14ac:dyDescent="0.15">
      <c r="A11" s="130"/>
      <c r="B11" s="130" t="s">
        <v>86</v>
      </c>
      <c r="C11" s="130" t="s">
        <v>87</v>
      </c>
      <c r="D11" s="130" t="s">
        <v>88</v>
      </c>
      <c r="E11" s="130" t="s">
        <v>89</v>
      </c>
      <c r="F11" s="130" t="s">
        <v>90</v>
      </c>
    </row>
    <row r="12" spans="1:9" ht="12.75" customHeight="1" x14ac:dyDescent="0.15">
      <c r="A12" t="s">
        <v>91</v>
      </c>
      <c r="B12">
        <v>5</v>
      </c>
      <c r="C12">
        <v>6.0530770155360597E-2</v>
      </c>
      <c r="D12">
        <v>1.2106154031072101E-2</v>
      </c>
      <c r="E12">
        <v>176.71388872931001</v>
      </c>
    </row>
    <row r="13" spans="1:9" ht="12.75" customHeight="1" x14ac:dyDescent="0.15">
      <c r="A13" t="s">
        <v>92</v>
      </c>
      <c r="B13">
        <v>3</v>
      </c>
      <c r="C13">
        <v>1.02760632891874E-3</v>
      </c>
      <c r="D13">
        <v>3.4253544297291398E-4</v>
      </c>
    </row>
    <row r="14" spans="1:9" ht="12.75" customHeight="1" x14ac:dyDescent="0.15">
      <c r="A14" s="131" t="s">
        <v>93</v>
      </c>
      <c r="B14" s="131">
        <v>8</v>
      </c>
      <c r="C14" s="131">
        <v>6.1558376484279302E-2</v>
      </c>
      <c r="D14" s="131"/>
      <c r="E14" s="131"/>
      <c r="F14" s="131"/>
    </row>
    <row r="16" spans="1:9" ht="12.75" customHeight="1" x14ac:dyDescent="0.15">
      <c r="A16" s="130"/>
      <c r="B16" s="130" t="s">
        <v>94</v>
      </c>
      <c r="C16" s="130" t="s">
        <v>83</v>
      </c>
      <c r="D16" s="130" t="s">
        <v>95</v>
      </c>
      <c r="E16" s="130" t="s">
        <v>96</v>
      </c>
      <c r="F16" s="130" t="s">
        <v>97</v>
      </c>
      <c r="G16" s="130" t="s">
        <v>98</v>
      </c>
      <c r="H16" s="130" t="s">
        <v>99</v>
      </c>
      <c r="I16" s="130" t="s">
        <v>100</v>
      </c>
    </row>
    <row r="17" spans="1:9" ht="12.75" customHeight="1" x14ac:dyDescent="0.15">
      <c r="A17" t="s">
        <v>101</v>
      </c>
      <c r="H17">
        <v>0</v>
      </c>
      <c r="I17">
        <v>0</v>
      </c>
    </row>
    <row r="18" spans="1:9" ht="12.75" customHeight="1" x14ac:dyDescent="0.15">
      <c r="A18" t="s">
        <v>102</v>
      </c>
      <c r="H18">
        <v>0</v>
      </c>
      <c r="I18">
        <v>0</v>
      </c>
    </row>
    <row r="19" spans="1:9" ht="12.75" customHeight="1" x14ac:dyDescent="0.15">
      <c r="A19" t="s">
        <v>103</v>
      </c>
      <c r="H19">
        <v>-3.6968097630163598E+89</v>
      </c>
      <c r="I19">
        <v>3.6968097630163598E+89</v>
      </c>
    </row>
    <row r="20" spans="1:9" ht="12.75" customHeight="1" x14ac:dyDescent="0.15">
      <c r="A20" t="s">
        <v>104</v>
      </c>
      <c r="H20">
        <v>0</v>
      </c>
      <c r="I20">
        <v>0</v>
      </c>
    </row>
    <row r="21" spans="1:9" ht="12.75" customHeight="1" x14ac:dyDescent="0.15">
      <c r="A21" t="s">
        <v>105</v>
      </c>
      <c r="B21">
        <v>10.965150785791501</v>
      </c>
      <c r="C21">
        <v>1.94110532241351E-2</v>
      </c>
      <c r="D21">
        <v>564.89210859294201</v>
      </c>
      <c r="E21">
        <v>1.2234023858196001E-8</v>
      </c>
      <c r="F21">
        <v>10.903376151176699</v>
      </c>
      <c r="G21">
        <v>11.0269254204063</v>
      </c>
      <c r="H21">
        <v>10.903376151176699</v>
      </c>
      <c r="I21">
        <v>11.0269254204063</v>
      </c>
    </row>
    <row r="22" spans="1:9" ht="12.75" customHeight="1" x14ac:dyDescent="0.15">
      <c r="A22" s="131" t="s">
        <v>106</v>
      </c>
      <c r="B22" s="131">
        <v>7.7801523221181598E-2</v>
      </c>
      <c r="C22" s="131">
        <v>5.8526527572795098E-3</v>
      </c>
      <c r="D22" s="131">
        <v>13.2933776268227</v>
      </c>
      <c r="E22" s="131">
        <v>9.1999898769996001E-4</v>
      </c>
      <c r="F22" s="131">
        <v>5.9175770077668902E-2</v>
      </c>
      <c r="G22" s="131">
        <v>9.6427276364694295E-2</v>
      </c>
      <c r="H22" s="131">
        <v>5.9175770077668902E-2</v>
      </c>
      <c r="I22" s="131">
        <v>9.6427276364694295E-2</v>
      </c>
    </row>
  </sheetData>
  <mergeCells count="1">
    <mergeCell ref="A3:B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"/>
  <sheetViews>
    <sheetView zoomScaleNormal="100" workbookViewId="0"/>
  </sheetViews>
  <sheetFormatPr baseColWidth="10" defaultColWidth="8.83203125" defaultRowHeight="13" x14ac:dyDescent="0.15"/>
  <cols>
    <col min="1" max="256" width="11.5" customWidth="1"/>
  </cols>
  <sheetData>
    <row r="1" spans="1:10" ht="13.5" customHeight="1" x14ac:dyDescent="0.2">
      <c r="A1" s="10">
        <v>1</v>
      </c>
      <c r="B1" s="10">
        <v>2</v>
      </c>
      <c r="C1" s="10">
        <v>3</v>
      </c>
      <c r="D1" s="11">
        <v>4</v>
      </c>
      <c r="E1" s="12">
        <v>5</v>
      </c>
      <c r="F1" s="12">
        <v>6</v>
      </c>
      <c r="G1" s="12">
        <v>7</v>
      </c>
      <c r="H1" s="12">
        <v>8</v>
      </c>
      <c r="I1" s="12">
        <v>9</v>
      </c>
      <c r="J1" s="12">
        <v>10</v>
      </c>
    </row>
    <row r="2" spans="1:10" ht="13.5" customHeight="1" x14ac:dyDescent="0.2">
      <c r="A2" s="20">
        <v>63763</v>
      </c>
      <c r="B2" s="20">
        <v>66025</v>
      </c>
      <c r="C2" s="20">
        <v>72574</v>
      </c>
      <c r="D2" s="20">
        <v>79042</v>
      </c>
      <c r="E2" s="21">
        <v>85988</v>
      </c>
      <c r="F2" s="22">
        <f>E2*(1+F3)</f>
        <v>85988</v>
      </c>
      <c r="G2" s="22">
        <f>F2*(1+G3)</f>
        <v>85988</v>
      </c>
      <c r="H2" s="22">
        <f>G2*(1+H3)</f>
        <v>85988</v>
      </c>
      <c r="I2" s="22">
        <f>H2*(1+I3)</f>
        <v>85988</v>
      </c>
      <c r="J2" s="22">
        <f>I2*(1+J3)</f>
        <v>85988</v>
      </c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"/>
  <sheetViews>
    <sheetView zoomScaleNormal="100" workbookViewId="0">
      <selection activeCell="V22" sqref="V22"/>
    </sheetView>
  </sheetViews>
  <sheetFormatPr baseColWidth="10" defaultColWidth="8.83203125" defaultRowHeight="13" x14ac:dyDescent="0.15"/>
  <sheetData>
    <row r="1" spans="1:5" ht="13.5" customHeight="1" x14ac:dyDescent="0.2">
      <c r="A1" s="10">
        <v>1</v>
      </c>
      <c r="B1" s="10">
        <v>2</v>
      </c>
      <c r="C1" s="10">
        <v>3</v>
      </c>
      <c r="D1" s="11">
        <v>4</v>
      </c>
      <c r="E1" s="12">
        <v>5</v>
      </c>
    </row>
    <row r="2" spans="1:5" ht="13.5" customHeight="1" x14ac:dyDescent="0.15">
      <c r="A2" s="37">
        <v>0.32895252732776098</v>
      </c>
      <c r="B2" s="37">
        <v>0.340325634229459</v>
      </c>
      <c r="C2" s="37">
        <v>0.37094551767850797</v>
      </c>
      <c r="D2" s="37">
        <v>0.38396042610257802</v>
      </c>
      <c r="E2" s="37">
        <v>0.37193561892357102</v>
      </c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"/>
  <sheetViews>
    <sheetView zoomScaleNormal="100" workbookViewId="0"/>
  </sheetViews>
  <sheetFormatPr baseColWidth="10" defaultColWidth="8.83203125" defaultRowHeight="13" x14ac:dyDescent="0.15"/>
  <sheetData>
    <row r="1" spans="1:5" ht="13.5" customHeight="1" x14ac:dyDescent="0.2">
      <c r="A1" s="10">
        <v>1</v>
      </c>
      <c r="B1" s="10">
        <v>2</v>
      </c>
      <c r="C1" s="10">
        <v>3</v>
      </c>
      <c r="D1" s="11">
        <v>4</v>
      </c>
      <c r="E1" s="12">
        <v>5</v>
      </c>
    </row>
    <row r="2" spans="1:5" ht="13.5" customHeight="1" x14ac:dyDescent="0.15">
      <c r="A2" s="37">
        <v>0.14782867807349101</v>
      </c>
      <c r="B2" s="37">
        <v>0.15816736084816399</v>
      </c>
      <c r="C2" s="37">
        <v>0.166037423870808</v>
      </c>
      <c r="D2" s="37">
        <v>0.170352470838289</v>
      </c>
      <c r="E2" s="37">
        <v>0.16055728706331099</v>
      </c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"/>
  <sheetViews>
    <sheetView zoomScaleNormal="100" workbookViewId="0">
      <selection activeCell="S31" sqref="S31"/>
    </sheetView>
  </sheetViews>
  <sheetFormatPr baseColWidth="10" defaultColWidth="8.83203125" defaultRowHeight="13" x14ac:dyDescent="0.15"/>
  <sheetData>
    <row r="1" spans="1:5" ht="13.5" customHeight="1" x14ac:dyDescent="0.2">
      <c r="A1" s="10">
        <v>1</v>
      </c>
      <c r="B1" s="10">
        <v>2</v>
      </c>
      <c r="C1" s="10">
        <v>3</v>
      </c>
      <c r="D1" s="11">
        <v>4</v>
      </c>
      <c r="E1" s="12">
        <v>5</v>
      </c>
    </row>
    <row r="2" spans="1:5" ht="13.5" customHeight="1" x14ac:dyDescent="0.15">
      <c r="A2" s="37">
        <v>0.149585182629425</v>
      </c>
      <c r="B2" s="37">
        <v>0.139840969329799</v>
      </c>
      <c r="C2" s="37">
        <v>0.13858957753465401</v>
      </c>
      <c r="D2" s="37">
        <v>0.127742213000683</v>
      </c>
      <c r="E2" s="37">
        <v>0.14928827278224899</v>
      </c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FCF Model</vt:lpstr>
      <vt:lpstr>Loglinear reveiw</vt:lpstr>
      <vt:lpstr>Revenue</vt:lpstr>
      <vt:lpstr>Payables_Chart</vt:lpstr>
      <vt:lpstr>Inventories_Chart</vt:lpstr>
      <vt:lpstr>ar_Chart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Wall Street Prep, LLC</dc:creator>
  <dc:description/>
  <cp:lastModifiedBy>Joe Marfisi</cp:lastModifiedBy>
  <cp:revision>8</cp:revision>
  <dcterms:created xsi:type="dcterms:W3CDTF">2006-10-30T23:26:47Z</dcterms:created>
  <dcterms:modified xsi:type="dcterms:W3CDTF">2026-07-16T00:07:51Z</dcterms:modified>
  <dc:language>en-US</dc:language>
</cp:coreProperties>
</file>